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C:\A. 2024\Indeportes\Indicadores\2025\"/>
    </mc:Choice>
  </mc:AlternateContent>
  <xr:revisionPtr revIDLastSave="0" documentId="13_ncr:1_{975CEFE7-F0FC-45EE-B3F0-BE780027A39F}" xr6:coauthVersionLast="47" xr6:coauthVersionMax="47" xr10:uidLastSave="{00000000-0000-0000-0000-000000000000}"/>
  <bookViews>
    <workbookView xWindow="-90" yWindow="0" windowWidth="9780" windowHeight="10170" xr2:uid="{00000000-000D-0000-FFFF-FFFF00000000}"/>
  </bookViews>
  <sheets>
    <sheet name="INDICADORES" sheetId="4" r:id="rId1"/>
    <sheet name="Hoja1" sheetId="5" r:id="rId2"/>
  </sheets>
  <definedNames>
    <definedName name="_xlnm._FilterDatabase" localSheetId="0" hidden="1">INDICADORES!$A$5:$S$43</definedName>
    <definedName name="_xlnm.Print_Area" localSheetId="0">INDICADORES!$A$1:$S$43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4" l="1"/>
  <c r="K36" i="4"/>
  <c r="N35" i="4"/>
  <c r="K35" i="4"/>
  <c r="K26" i="4"/>
  <c r="K25" i="4"/>
  <c r="N29" i="4" l="1"/>
  <c r="N33" i="4"/>
  <c r="N31" i="4"/>
  <c r="K31" i="4"/>
  <c r="N30" i="4"/>
  <c r="N20" i="4"/>
  <c r="N17" i="4"/>
  <c r="N16" i="4"/>
  <c r="N15" i="4"/>
  <c r="N14" i="4"/>
  <c r="N43" i="4" l="1"/>
  <c r="N42" i="4"/>
  <c r="N41" i="4"/>
  <c r="K30" i="4"/>
  <c r="N27" i="4" l="1"/>
  <c r="K27" i="4"/>
  <c r="N21" i="4" l="1"/>
  <c r="N38" i="4"/>
  <c r="K37" i="4"/>
  <c r="N37" i="4"/>
  <c r="N11" i="4"/>
  <c r="N9" i="4" l="1"/>
  <c r="N7" i="4"/>
  <c r="N13" i="4"/>
  <c r="N12" i="4"/>
  <c r="K12" i="4"/>
  <c r="N28" i="4" l="1"/>
  <c r="N39" i="4" l="1"/>
  <c r="N10" i="4"/>
  <c r="K7" i="4"/>
  <c r="K9" i="4" l="1"/>
  <c r="K38" i="4" l="1"/>
  <c r="K40" i="4"/>
  <c r="K39" i="4"/>
  <c r="K11" i="4" l="1"/>
  <c r="K23" i="4" l="1"/>
  <c r="K13" i="4" l="1"/>
  <c r="K20" i="4" l="1"/>
  <c r="K16" i="4"/>
  <c r="E13" i="5"/>
  <c r="K12" i="5"/>
  <c r="L12" i="5" s="1"/>
  <c r="M12" i="5" s="1"/>
  <c r="K7" i="5"/>
  <c r="L7" i="5" s="1"/>
  <c r="M7" i="5" s="1"/>
  <c r="K8" i="5"/>
  <c r="L8" i="5" s="1"/>
  <c r="M8" i="5" s="1"/>
  <c r="K9" i="5"/>
  <c r="L9" i="5" s="1"/>
  <c r="M9" i="5" s="1"/>
  <c r="K10" i="5"/>
  <c r="L10" i="5" s="1"/>
  <c r="M10" i="5" s="1"/>
  <c r="K11" i="5"/>
  <c r="L11" i="5" s="1"/>
  <c r="M11" i="5" s="1"/>
  <c r="K6" i="5"/>
  <c r="L6" i="5" s="1"/>
  <c r="M6" i="5" s="1"/>
  <c r="B22" i="5"/>
  <c r="K14" i="4" l="1"/>
  <c r="K15" i="4"/>
  <c r="D9" i="5"/>
  <c r="K1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FABIAN PATIÑO</author>
  </authors>
  <commentList>
    <comment ref="I5" authorId="0" shapeId="0" xr:uid="{00000000-0006-0000-0000-000001000000}">
      <text>
        <r>
          <rPr>
            <b/>
            <sz val="9"/>
            <color indexed="81"/>
            <rFont val="Tahoma"/>
            <family val="2"/>
          </rPr>
          <t>FABIAN PATIÑO:</t>
        </r>
        <r>
          <rPr>
            <sz val="9"/>
            <color indexed="81"/>
            <rFont val="Tahoma"/>
            <family val="2"/>
          </rPr>
          <t xml:space="preserve">
Diligenciar la fuente, osea de donde se verifica la informacioin suministrada</t>
        </r>
      </text>
    </comment>
    <comment ref="K5" authorId="0" shapeId="0" xr:uid="{00000000-0006-0000-0000-000002000000}">
      <text>
        <r>
          <rPr>
            <b/>
            <sz val="9"/>
            <color indexed="81"/>
            <rFont val="Tahoma"/>
            <family val="2"/>
          </rPr>
          <t>FABIAN PATIÑO:</t>
        </r>
        <r>
          <rPr>
            <sz val="9"/>
            <color indexed="81"/>
            <rFont val="Tahoma"/>
            <family val="2"/>
          </rPr>
          <t xml:space="preserve">
diligenciar los valores como estan en la formula</t>
        </r>
      </text>
    </comment>
    <comment ref="N5" authorId="0" shapeId="0" xr:uid="{00000000-0006-0000-0000-000003000000}">
      <text>
        <r>
          <rPr>
            <b/>
            <sz val="9"/>
            <color indexed="81"/>
            <rFont val="Tahoma"/>
            <family val="2"/>
          </rPr>
          <t>FABIAN PATIÑO:</t>
        </r>
        <r>
          <rPr>
            <sz val="9"/>
            <color indexed="81"/>
            <rFont val="Tahoma"/>
            <family val="2"/>
          </rPr>
          <t xml:space="preserve">
Diligenciar los valores como estan en la formula
</t>
        </r>
      </text>
    </comment>
    <comment ref="F14" authorId="0" shapeId="0" xr:uid="{00000000-0006-0000-0000-000004000000}">
      <text>
        <r>
          <rPr>
            <b/>
            <sz val="9"/>
            <color indexed="81"/>
            <rFont val="Tahoma"/>
            <family val="2"/>
          </rPr>
          <t>FABIAN PATIÑO:</t>
        </r>
        <r>
          <rPr>
            <sz val="9"/>
            <color indexed="81"/>
            <rFont val="Tahoma"/>
            <family val="2"/>
          </rPr>
          <t xml:space="preserve">
7924
5943=75%
</t>
        </r>
      </text>
    </comment>
    <comment ref="F15" authorId="0" shapeId="0" xr:uid="{00000000-0006-0000-0000-000005000000}">
      <text>
        <r>
          <rPr>
            <b/>
            <sz val="9"/>
            <color indexed="81"/>
            <rFont val="Tahoma"/>
            <family val="2"/>
          </rPr>
          <t>FABIAN PATIÑO:</t>
        </r>
        <r>
          <rPr>
            <sz val="9"/>
            <color indexed="81"/>
            <rFont val="Tahoma"/>
            <family val="2"/>
          </rPr>
          <t xml:space="preserve">
69009</t>
        </r>
      </text>
    </comment>
    <comment ref="F16" authorId="0" shapeId="0" xr:uid="{00000000-0006-0000-0000-000006000000}">
      <text>
        <r>
          <rPr>
            <b/>
            <sz val="9"/>
            <color indexed="81"/>
            <rFont val="Tahoma"/>
            <family val="2"/>
          </rPr>
          <t>FABIAN PATIÑO:</t>
        </r>
        <r>
          <rPr>
            <sz val="9"/>
            <color indexed="81"/>
            <rFont val="Tahoma"/>
            <family val="2"/>
          </rPr>
          <t xml:space="preserve">
2990</t>
        </r>
      </text>
    </comment>
    <comment ref="F17" authorId="0" shapeId="0" xr:uid="{00000000-0006-0000-0000-000007000000}">
      <text>
        <r>
          <rPr>
            <b/>
            <sz val="9"/>
            <color indexed="81"/>
            <rFont val="Tahoma"/>
            <family val="2"/>
          </rPr>
          <t>FABIAN PATIÑO:</t>
        </r>
        <r>
          <rPr>
            <sz val="9"/>
            <color indexed="81"/>
            <rFont val="Tahoma"/>
            <family val="2"/>
          </rPr>
          <t xml:space="preserve">
2344</t>
        </r>
      </text>
    </comment>
    <comment ref="F18" authorId="0" shapeId="0" xr:uid="{00000000-0006-0000-0000-000008000000}">
      <text>
        <r>
          <rPr>
            <b/>
            <sz val="9"/>
            <color indexed="81"/>
            <rFont val="Tahoma"/>
            <family val="2"/>
          </rPr>
          <t>FABIAN PATIÑO:</t>
        </r>
        <r>
          <rPr>
            <sz val="9"/>
            <color indexed="81"/>
            <rFont val="Tahoma"/>
            <family val="2"/>
          </rPr>
          <t xml:space="preserve">
406</t>
        </r>
      </text>
    </comment>
    <comment ref="F19" authorId="0" shapeId="0" xr:uid="{00000000-0006-0000-0000-000009000000}">
      <text>
        <r>
          <rPr>
            <b/>
            <sz val="9"/>
            <color indexed="81"/>
            <rFont val="Tahoma"/>
            <family val="2"/>
          </rPr>
          <t>FABIAN PATIÑO:</t>
        </r>
        <r>
          <rPr>
            <sz val="9"/>
            <color indexed="81"/>
            <rFont val="Tahoma"/>
            <family val="2"/>
          </rPr>
          <t xml:space="preserve">
234</t>
        </r>
      </text>
    </comment>
    <comment ref="F35" authorId="0" shapeId="0" xr:uid="{00000000-0006-0000-0000-00000A000000}">
      <text>
        <r>
          <rPr>
            <b/>
            <sz val="9"/>
            <color indexed="81"/>
            <rFont val="Tahoma"/>
            <family val="2"/>
          </rPr>
          <t>FABIAN PATIÑO:</t>
        </r>
        <r>
          <rPr>
            <sz val="9"/>
            <color indexed="81"/>
            <rFont val="Tahoma"/>
            <family val="2"/>
          </rPr>
          <t xml:space="preserve">
cada trimestre se incrementaría un 25%</t>
        </r>
      </text>
    </comment>
  </commentList>
</comments>
</file>

<file path=xl/sharedStrings.xml><?xml version="1.0" encoding="utf-8"?>
<sst xmlns="http://schemas.openxmlformats.org/spreadsheetml/2006/main" count="425" uniqueCount="271">
  <si>
    <t>NOMBRE DEL INDICADOR</t>
  </si>
  <si>
    <t>OBETIVO DEL INDICADOR</t>
  </si>
  <si>
    <t>FORMULA</t>
  </si>
  <si>
    <t>META</t>
  </si>
  <si>
    <t>PERIODICIDAD</t>
  </si>
  <si>
    <t>UNIDAD DE MEDIDA</t>
  </si>
  <si>
    <t>TIPO DE INDICADOR</t>
  </si>
  <si>
    <t>PROCESO
SUBPROCESO</t>
  </si>
  <si>
    <t>Dirección Estratégica</t>
  </si>
  <si>
    <t>Planeación Institucional</t>
  </si>
  <si>
    <t>Gestión Técnica</t>
  </si>
  <si>
    <t>Sistemas de Información y Comunicación</t>
  </si>
  <si>
    <t>Talento Humano</t>
  </si>
  <si>
    <t>Almacén</t>
  </si>
  <si>
    <t>Gestión Documental</t>
  </si>
  <si>
    <t>Presupuesto</t>
  </si>
  <si>
    <t>Tesorería</t>
  </si>
  <si>
    <t>Gestión Jurídica y Contratación</t>
  </si>
  <si>
    <t>Control Interno</t>
  </si>
  <si>
    <t>Porcentaje</t>
  </si>
  <si>
    <t>Semestral</t>
  </si>
  <si>
    <t>FUENTE</t>
  </si>
  <si>
    <t>Eficacia</t>
  </si>
  <si>
    <t>Cobertura de los Proyectos, Programas del Instituto</t>
  </si>
  <si>
    <t>Medir la cobertura beneficiada en relación con los programas del Instituto</t>
  </si>
  <si>
    <t>(Calificación vigencia actual - Calificación vigencia anterior)/Calificación vigencia anterior</t>
  </si>
  <si>
    <t>Anual</t>
  </si>
  <si>
    <t>(Actividades ejecutadas en el Plan de Acción/ Actividades programadas en el plan de Acción )*100</t>
  </si>
  <si>
    <t>Cumplimiento del Plan de Acción</t>
  </si>
  <si>
    <t>Numero</t>
  </si>
  <si>
    <t>Cumplimiento al Plan de Bienestar</t>
  </si>
  <si>
    <t>Determinar la ejecución de las actividades programadas en el programa de bienestar</t>
  </si>
  <si>
    <t>Total actividades ejecutadas PBS /Total de actividades programadas PBS</t>
  </si>
  <si>
    <t>Total actividades ejecutadas PIC /Total de actividades programadas PIC</t>
  </si>
  <si>
    <t>Cumplimiento al Plan del SGSST</t>
  </si>
  <si>
    <t>Determinar el nivel de cumplimiento del Plan de SGSST</t>
  </si>
  <si>
    <t>Total actividades ejecutadas PSST /Total de actividades programadas PSST</t>
  </si>
  <si>
    <t>Mantener la precisión y actualización del inventario, asegurando que los registros coincidan con las existencias físicas.</t>
  </si>
  <si>
    <t>Trimestral</t>
  </si>
  <si>
    <t>Cumplimiento al PINAR</t>
  </si>
  <si>
    <t>Determinar la ejecución de las actividades programadas en el PINAR</t>
  </si>
  <si>
    <t>Total actividades ejecutadas PINAR /Total de actividades programadas PINAR</t>
  </si>
  <si>
    <t>Oportunidad en la respuesta de PQRS</t>
  </si>
  <si>
    <t>(Numero de municipios beneficiados con los programas del instituto / Numero de municipios del Departamento)*100</t>
  </si>
  <si>
    <t>Ejecución presupuestal de Ingresos</t>
  </si>
  <si>
    <t>Determinar el nivel ejecutado del presupuesto aprobado en el instituto</t>
  </si>
  <si>
    <t xml:space="preserve">Eficacia </t>
  </si>
  <si>
    <t xml:space="preserve">Cumplimiento nivel de Ingresos </t>
  </si>
  <si>
    <t>(Ingresos recibidos/ingresos programados)*100</t>
  </si>
  <si>
    <t>Rendimientos Financieros</t>
  </si>
  <si>
    <t>Monitorear el comportamiento(crecimiento/Disminución) de los rendimientos financieros del Instituto</t>
  </si>
  <si>
    <t>Atención Procesos judiciales</t>
  </si>
  <si>
    <t>Numero de Procesos atendidos oportunamente/ Numero de Procesos radicados</t>
  </si>
  <si>
    <t>Medir la pertinencia en la atención de las demandas contra la Entidad</t>
  </si>
  <si>
    <t>Auditorias Internas</t>
  </si>
  <si>
    <t>Identificar el porcentaje de auditorías ejecutadas por control interno</t>
  </si>
  <si>
    <t xml:space="preserve"> Sensibilización cultura autocontrol</t>
  </si>
  <si>
    <t>Mide la eficiencia en la sensibilización cultura autocontrol</t>
  </si>
  <si>
    <t>(Numero de actividades Realizadas/ Numero de actividades programadas de cultura de Autocontrol)/*100</t>
  </si>
  <si>
    <t>Alcance de los programas</t>
  </si>
  <si>
    <t>Desempeño de Redes Sociales</t>
  </si>
  <si>
    <t>PÁGINA 1 DE 1</t>
  </si>
  <si>
    <t>FECHA: 2024/06/02</t>
  </si>
  <si>
    <t>CÓDIGO: DE-PL-MT-003</t>
  </si>
  <si>
    <t>VERSIÓN: 02</t>
  </si>
  <si>
    <t>MATRIZ DE INDICADORES POR PROCESO</t>
  </si>
  <si>
    <t xml:space="preserve">Garantizar que los deportistas reciban la preparación necesaria para competencias de alto rendimiento </t>
  </si>
  <si>
    <t>Asegurar la entrega de estímulos económicos a los deportistas para que tengan una buena preparación y mayores oportunidades para competir</t>
  </si>
  <si>
    <t>Monitorear procesos de iniciación, fundamentación y perfeccionamiento deportivos mediante clases de actividad física, recreación y/o deporte.</t>
  </si>
  <si>
    <t>Garantizar la entrega de diversos incentivos a los integrantes del sistema nacional de deportes y a los participantes o deportistas</t>
  </si>
  <si>
    <t>Promover el aprovechamiento del deporte, la recreación y la actividad física para el esparcimiento y el desarrollo físico.</t>
  </si>
  <si>
    <t>Trimestre</t>
  </si>
  <si>
    <t>Facilitar la realización de capacitaciones en deporte, hábitos de salud, recreación y otros temas relevantes.</t>
  </si>
  <si>
    <t xml:space="preserve"> Atletas preparados para competencias de alto rendimiento</t>
  </si>
  <si>
    <t>Estímulos entregados a deportistas de alto rendimiento.</t>
  </si>
  <si>
    <t>Niños, niñas, adolescentes y jóvenes inscritos y activos en escuelas deportivas</t>
  </si>
  <si>
    <t>Personas vinculadas a programas deportivos, recreativos y de actividad física a través de incentivos</t>
  </si>
  <si>
    <t xml:space="preserve">Capacitaciones dirigidas a integrantes del Sistema Nacional del Deporte. </t>
  </si>
  <si>
    <t xml:space="preserve"> Personas que acceden a servicios deportivos, recreativos y de actividad física.</t>
  </si>
  <si>
    <t>(Total preguntas contestadas afirmativamente /Total de preguntas programadas)*100</t>
  </si>
  <si>
    <t>Mantenimiento Preventivo</t>
  </si>
  <si>
    <t>Evaluar el cumplimiento al plan de mantenimiento preventivo y correctivo</t>
  </si>
  <si>
    <t>(Numero de solicitudes de mantenimiento / Numero de mantenimientos realizados)*100</t>
  </si>
  <si>
    <t>Número personas participando en procesos de iniciación, fundamentación y perfeccionamiento en disciplinas formativa/ Total de personas a participar en procesos de formación deportiva)*100</t>
  </si>
  <si>
    <t>(Número de atletas preparados para competencias de alto rendimiento/ Total de atletas preparados para competencias de alto rendimiento)*100</t>
  </si>
  <si>
    <t>Número capacitaciones en  deporte libre de violencias de género, hábitos de salud y salud mental/ Total de capacitaciones programadas en deporte de libre de violencia)*100</t>
  </si>
  <si>
    <t>numero</t>
  </si>
  <si>
    <t>Seguimiento a fichas SPI</t>
  </si>
  <si>
    <t>(Numero de fichas SPI diligenciadas y enviadas/ Numero total de Fichas SPI  proyectadas)*100</t>
  </si>
  <si>
    <t>Seguimiento a los informes de ley</t>
  </si>
  <si>
    <t>Numero de inventarios realizados/ Numero de inventarios programados</t>
  </si>
  <si>
    <t xml:space="preserve">Medición del consumo de materiales </t>
  </si>
  <si>
    <t>(Numero de contratos efectuados/Numero de contratos solicitados)</t>
  </si>
  <si>
    <t>Identificar el porcentaje de contratos  efectuados por el Instituto</t>
  </si>
  <si>
    <t>Determinar el nivel de cumplimiento de los ingresos programados</t>
  </si>
  <si>
    <t>(Número de personas participando en actividades deportivas, recreativas, físicas y de turismo deportivo / Total de personas a participar en actividades deportivas)*100</t>
  </si>
  <si>
    <t>Organizar los Archivos de Gestión del Instituto</t>
  </si>
  <si>
    <t>(Numero de Series Documentales Organizadas/​Numero Total de Series Documentales)*100</t>
  </si>
  <si>
    <t>Aplicación de las TVD</t>
  </si>
  <si>
    <t>Realizar las Transferencias Documentales Programadas</t>
  </si>
  <si>
    <t>(Numero de Transferencias Documentales Realizadas/ Total de Transferencias Documentales Programadas)*100</t>
  </si>
  <si>
    <t>(Numero de Series Documentales Eliminadas/ Total de Series Documentales a Eliminar según las TRD O TVD)*100</t>
  </si>
  <si>
    <t>Determinar el nivel ejecutado de gastos aprobado en el instituto</t>
  </si>
  <si>
    <t>Ejecución presupuestal de Egresos</t>
  </si>
  <si>
    <t>CÓDIGO
INDICADOR</t>
  </si>
  <si>
    <t>PL-01</t>
  </si>
  <si>
    <t>PL-02</t>
  </si>
  <si>
    <t>PL-03</t>
  </si>
  <si>
    <t>PL-04</t>
  </si>
  <si>
    <t>GER-01</t>
  </si>
  <si>
    <t>GER-02</t>
  </si>
  <si>
    <t>GT-01</t>
  </si>
  <si>
    <t>GT-02</t>
  </si>
  <si>
    <t>GT- 03</t>
  </si>
  <si>
    <t>GT-04</t>
  </si>
  <si>
    <t>GT- 05</t>
  </si>
  <si>
    <t>GT- 06</t>
  </si>
  <si>
    <t>GT- 07</t>
  </si>
  <si>
    <t>TICS - 01</t>
  </si>
  <si>
    <t>TICS - 02</t>
  </si>
  <si>
    <t>TICS - 03</t>
  </si>
  <si>
    <t>TICS - 04</t>
  </si>
  <si>
    <t>GTH - 01</t>
  </si>
  <si>
    <t>GTH - 02</t>
  </si>
  <si>
    <t>GTH - 03</t>
  </si>
  <si>
    <t>ALM - 01</t>
  </si>
  <si>
    <t>ALM - 02</t>
  </si>
  <si>
    <t>GD -01</t>
  </si>
  <si>
    <t>GD -02</t>
  </si>
  <si>
    <t>GD -03</t>
  </si>
  <si>
    <t>GD -04</t>
  </si>
  <si>
    <t>GD -05</t>
  </si>
  <si>
    <t>PTO - 01</t>
  </si>
  <si>
    <t>PTO - 02</t>
  </si>
  <si>
    <t>TES -01</t>
  </si>
  <si>
    <t>TES -02</t>
  </si>
  <si>
    <t>GJUR - 01</t>
  </si>
  <si>
    <t>GJUR - 02</t>
  </si>
  <si>
    <t>GCIN  - 01</t>
  </si>
  <si>
    <t>GCIN  - 02</t>
  </si>
  <si>
    <t>GCIN  - 03</t>
  </si>
  <si>
    <t>Cumplimiento del Plan Estratégico de la Entidad</t>
  </si>
  <si>
    <t>Evaluar el cumplimiento de la ejecución de las actividades definidas en el Plan Estratégico de la Entidad</t>
  </si>
  <si>
    <t>(Actividades ejecutadas en el Plan Estratégico/ Actividades programadas en el plan estratégico )*100</t>
  </si>
  <si>
    <t>Mejoramiento en el índice de desempeño Institucional (MIPG)</t>
  </si>
  <si>
    <t>Incrementar el índice de desempeño de entidad</t>
  </si>
  <si>
    <t>Evaluar el Cumplimiento de la ejecución del plan de acción</t>
  </si>
  <si>
    <t>Evaluar el cumplimiento de elaboración y envío de las fichas SPI de cada proyecto</t>
  </si>
  <si>
    <t>(Número estímulos económicos o educativos entregados a deportistas de alto rendimiento/ Total de estímulos programados para entregar a deportistas de alto rendimiento)*100</t>
  </si>
  <si>
    <t>Medir el impacto de la Población beneficiada con los programas y/o proyectos  del Instituto</t>
  </si>
  <si>
    <t>(Numero de personas asistidas/ Numero de población del Departamento</t>
  </si>
  <si>
    <t>Cumplimiento Políticas de Gobierno Digital</t>
  </si>
  <si>
    <t>Evaluar el cumplimiento a la política de gobierno Digital según Calificación FURAG</t>
  </si>
  <si>
    <t>Cumplimiento Política Transparencia y Acceso a la Información</t>
  </si>
  <si>
    <t>Evaluar el cumplimiento a la política transparencia y acceso a la información en los ítems de transparencia activa y publicación proactiva de la información</t>
  </si>
  <si>
    <t xml:space="preserve">Evaluar el comportamiento (crecimiento de las redes sociales de la entidad
</t>
  </si>
  <si>
    <t xml:space="preserve">Estadísticas de Instagram y Facebook
</t>
  </si>
  <si>
    <t>Cumplimiento al Plan de Capacitación</t>
  </si>
  <si>
    <t>Determinar el nivel de Cumplimiento del Plan Institucional de Capacitación</t>
  </si>
  <si>
    <t>Frecuencia de Revisión de Inventarios</t>
  </si>
  <si>
    <t>Implementación de TRD</t>
  </si>
  <si>
    <t>Establecer el numero de PQRS respondidas durante el mes de la entidad</t>
  </si>
  <si>
    <t>(Numero de PQRS respondidas dentro del mes/Total de PQRS recibidas en el mes)*100</t>
  </si>
  <si>
    <t>Aplicación de los Instrumentos Archivísticos</t>
  </si>
  <si>
    <t>Realizar la Eliminación de las series Documentales según las TRD o TVD</t>
  </si>
  <si>
    <t>(Rendimientos Financieros actuales - Rendimientos Financieros periodo anterior)/Rendimientos periodo anterior</t>
  </si>
  <si>
    <t>Contratos de mínima, menor cuantía y prestación de servicio</t>
  </si>
  <si>
    <t>(Numero de auditorias Internas Realizadas/ Numero de Auditorias Internas Programadas)*100</t>
  </si>
  <si>
    <t>Verificar los informes presentados por la oficina de control internas</t>
  </si>
  <si>
    <t>(Numero de informes realizado/ Numero de informes programados)*100</t>
  </si>
  <si>
    <t>(Costo total materiales y suministros consumido por proceso/Costo total de material y suministro)*100</t>
  </si>
  <si>
    <t>ANALISIS</t>
  </si>
  <si>
    <t>Sistema Xpert</t>
  </si>
  <si>
    <t>Secop</t>
  </si>
  <si>
    <t>Relacion procesos defensa judicial</t>
  </si>
  <si>
    <t>Trmestral</t>
  </si>
  <si>
    <t>30 DE SEPTIEMBRE</t>
  </si>
  <si>
    <t>30 DE 
JUNIO</t>
  </si>
  <si>
    <t>15 DE DICIEMBRE</t>
  </si>
  <si>
    <t>hasta el momneto no se han brindado capacitaciones deportivas que impacten este indicador</t>
  </si>
  <si>
    <t>(Numero de personas vinculadas a programas y proyectos físicos, deportivos,recreativos y de turismo deportivos/ Total de incentivios entregados)*100</t>
  </si>
  <si>
    <t>Tecnica/almacen</t>
  </si>
  <si>
    <t xml:space="preserve">META </t>
  </si>
  <si>
    <t xml:space="preserve">CUMPLIMIENTO </t>
  </si>
  <si>
    <t>CUATRIMESTRE</t>
  </si>
  <si>
    <t xml:space="preserve">tecnica fomento </t>
  </si>
  <si>
    <t xml:space="preserve">tecnica formento </t>
  </si>
  <si>
    <t xml:space="preserve">tecnica altos logros </t>
  </si>
  <si>
    <t xml:space="preserve">tecnica fomento y altos logros. </t>
  </si>
  <si>
    <t>Teniendo en cuenta el total de la población del departamento del Cauca, se identifica que únicamente el 0,14 % fue impactado durante el primer trimestre, una cifra que se encuentra muy por debajo de la meta establecida del 2 %. Esto evidencia una baja ejecución física del proyecto en esta primera etapa.</t>
  </si>
  <si>
    <t>Se evidencia un avance del 14,5 % frente al 25 % proyectado para este trimestre, en relación con la población impactada mediante la participación de los monitores y entrenadores contratados hasta el momento.</t>
  </si>
  <si>
    <t xml:space="preserve">Para el primer trimestre se había proyectado un indicador de cumplimiento del 25 %, de acuerdo con la meta establecida. Sin embargo, se evidencia un avance real del 9 %, lo que representa un desfase del 16 % respecto a lo planificado. Esto refleja un bajo nivel de ejecución en el desarrollo del proyecto durante este periodo. </t>
  </si>
  <si>
    <t>En el primer trimestre de la presente vigencia se evidencia un desfase del 23 % en el cumplimiento de la meta establecida, registrándose un avance del 2 %, correspondiente al impacto generado por los programas de Recreación, con 449 personas beneficiadas; Semilleros, con 282 personas; y Actividad Física, con 397 personas, lo cual refleja una ejecución parcial y por debajo de lo proyectado para este periodo.</t>
  </si>
  <si>
    <t>Fichas MSI</t>
  </si>
  <si>
    <t>De los 42 municipios del departamento a la fecha del inflorme se han impactado 18 municipios</t>
  </si>
  <si>
    <t>Cumplimiento Financiero de ejecución de Proyectos</t>
  </si>
  <si>
    <t>Evaluar el cumplimiento financiero de los proyectos de la vigencia</t>
  </si>
  <si>
    <t>(Valor total obligado/ Valor total apropiado)*100</t>
  </si>
  <si>
    <t>Fichas Resumen ejecutivo MIS</t>
  </si>
  <si>
    <t>Al corte de este informe, la ejecución financiera alcanza el 5,39% del 25% programado, lo que representa un incumplimiento del 19,61%.</t>
  </si>
  <si>
    <t xml:space="preserve">Para este trimestre, la meta proyectada era del 25 %; sin embargo, se evidencia un cumplimiento por debajo de lo esperado, con un desfase del 19 % respecto al total. 
El 6 % alcanzado corresponde a la entrega de 512 incentivos, entre los cuales se incluyen termos, balones, camisetas deportivas, libretas y lapiceros. Cabe destacar que el total de incentivos programados para este periodo es de 2.377 unidades.
</t>
  </si>
  <si>
    <t xml:space="preserve">El programa que impacta este indicador hasta el momento no ha dado inicio. </t>
  </si>
  <si>
    <t>Para el corte del seguimiento se han recibido dos solicitudes de mantenimiento preventivo, las cuales se realizaron en su totalidad, los mantenimeintos solicitados son de los procesos de juridica y tesorería</t>
  </si>
  <si>
    <t>Matriz Plan Estrategico</t>
  </si>
  <si>
    <t>De las 6 metas fisicas programadas se reportaron seguimiento en 3 (123,124 y 125)</t>
  </si>
  <si>
    <t>Se esta cumpliendo el cronograma del plan de auditoria y se han realizado auditorias (almacen, juridica y tesoreria)</t>
  </si>
  <si>
    <t>Se programaron dos actividades para la vigencia y se ha cumplido con el 50% a todos los funcionarios y contratistas (realizado en el mes de marzo)</t>
  </si>
  <si>
    <t>Se ha cumplido con los informes reglamentarios en cumplimiento a la normatividad vigente</t>
  </si>
  <si>
    <t>Se encuentra radicados 31 procesos judiciales de los cuales se han atendido todas las diligencias judiciales notificadas por parte de los jueces de la republica, incluidas audiencias, conrtestaciones de demandas y solicitudes de recaudo probatorio</t>
  </si>
  <si>
    <t>Extractos bancarios</t>
  </si>
  <si>
    <t>La tasa remuneratoria especial que contaba el instituto, se ajusto a partir del mes de marzo del 2025.</t>
  </si>
  <si>
    <t>Plan de Auditoría</t>
  </si>
  <si>
    <t>Cronograma de seguimiento</t>
  </si>
  <si>
    <t>Actividades de Autocontrol</t>
  </si>
  <si>
    <t>Se han intervenido en las diferentes dependencias del instituto con el cumplimiento de las actividades</t>
  </si>
  <si>
    <t>PLANEACIÓN</t>
  </si>
  <si>
    <t>Semestral
30 de Junio</t>
  </si>
  <si>
    <t>(Calificación vigencia actual - Calificación vigencia anterior)/100</t>
  </si>
  <si>
    <t>Para la vigencia de evaluación FURAG 2024, se presentó una disminución del 3,4% en el puntaje general. Por esta razón, se implementarán planes de mejora en las dimensiones que registraron calificaciones negativas. En la dimensión de Talento Humano, la calificación disminuyó en un 2,4%, mientras que en la dimensión de Gestión del Conocimiento la reducción fue del 41,9%.</t>
  </si>
  <si>
    <t>de los 300 contratos solicitados, 50 estan el legalizacion por estudios de mercado, y proyeccion de documentos precontractuales</t>
  </si>
  <si>
    <t>De los 360 contratos solicitados, 17 estan el legalizacion por estudios de mercado, y proyeccion de documentos precontractuales</t>
  </si>
  <si>
    <t>El 25%, refleja que de 60 fichas MIS que se deben reportar en la vigencia 2025,  se reportaron 15, En el mes de enero y febrero por instrucción de la OAP de la gobernación se hizo un solo reporte.</t>
  </si>
  <si>
    <t>El 41,67%, refleja que de 60 fichas MIS que se deben reportar en la vigencia 2025,  se reportaron 25, En el mes de enero y febrero por instrucción de la OAP de la gobernación se hizo un solo reporte.</t>
  </si>
  <si>
    <t>Al corte de este informe, la ejecución financiera alcanza el 16,41% del 50% que al primer semestre se debe tener, lo que representa un incumplimiento del 33,59%.</t>
  </si>
  <si>
    <t>Furag</t>
  </si>
  <si>
    <t>Plan de desarrollo
Metas Fisicas</t>
  </si>
  <si>
    <t>La programacion total que se debe recibir es de: licores, tasa prodeportes y tabaco
en la tasa prodeporte se recibio para el mes de enero un mayor recaudo</t>
  </si>
  <si>
    <t>Todas las metas fisicas tienen porcentaje de avance, motivo por el cual la meta 122 no tiene avance por que esta con horizonte amplio ( corresponde al 2024</t>
  </si>
  <si>
    <t>Se tienen recaudos positivos en la tasa prodeporte, tabaco y licores al corte, se encuentra por debajo de lo programado de enero a junio</t>
  </si>
  <si>
    <t>Los rendimientos son positivos ya en el nuevo banco la tasa esta remunerada de manera positiva</t>
  </si>
  <si>
    <t xml:space="preserve">Para la vigencia 2024, se cuenta con una calificación positiva ya que se logro aumentar la calificacion en un 31,15% </t>
  </si>
  <si>
    <t>Para los periodo de enero a abril se programaron 24 actividades de las cuales se encuentran ejecutadas 23, se tiene pendiente solamente el proceso del plan estrategico de seguridad vial</t>
  </si>
  <si>
    <t>N/A</t>
  </si>
  <si>
    <t>Solicitudes</t>
  </si>
  <si>
    <t>Redes Sociales</t>
  </si>
  <si>
    <t>Plan de Bienestar</t>
  </si>
  <si>
    <t>Plan de Capacitacion</t>
  </si>
  <si>
    <t>Pan Anual del SST</t>
  </si>
  <si>
    <t>Archivo de Gestion de las Unidades Productoras</t>
  </si>
  <si>
    <t>De 119 series documentales directas e  indrectas 87 series se han organizado en los diferentes prosesos</t>
  </si>
  <si>
    <r>
      <t xml:space="preserve">De las 45 actividades que se programaron para el cumplimiento del plan estrategico, 43 actividades ya tienen avance de implementación nos da un resultado del 95,56%, y el porcentaje de cumplimiento de cada actividad por linea estrategica se ve reflejado asi, y tiene un  49% de cumplimiento.
</t>
    </r>
    <r>
      <rPr>
        <b/>
        <sz val="10"/>
        <color theme="1"/>
        <rFont val="Calibri"/>
        <family val="2"/>
        <scheme val="minor"/>
      </rPr>
      <t>Gerencia</t>
    </r>
    <r>
      <rPr>
        <sz val="10"/>
        <color theme="1"/>
        <rFont val="Calibri"/>
        <family val="2"/>
        <scheme val="minor"/>
      </rPr>
      <t xml:space="preserve">: 
0 - 20%  de cumplimientiento  estan 4 actividades
21-40%  de cumplimiento, estan 2 actividades
41-60% de cumplimiento, estan 13 actividades
</t>
    </r>
    <r>
      <rPr>
        <b/>
        <sz val="10"/>
        <color theme="1"/>
        <rFont val="Calibri"/>
        <family val="2"/>
        <scheme val="minor"/>
      </rPr>
      <t>Linea Adminsitrativa</t>
    </r>
    <r>
      <rPr>
        <sz val="10"/>
        <color theme="1"/>
        <rFont val="Calibri"/>
        <family val="2"/>
        <scheme val="minor"/>
      </rPr>
      <t xml:space="preserve">:
 0-20% -1 actividad 
21-40%-1 actividad
41-60% 3 actividades
</t>
    </r>
    <r>
      <rPr>
        <b/>
        <sz val="10"/>
        <color theme="1"/>
        <rFont val="Calibri"/>
        <family val="2"/>
        <scheme val="minor"/>
      </rPr>
      <t>Linea Ciencia y Tecnología</t>
    </r>
    <r>
      <rPr>
        <sz val="10"/>
        <color theme="1"/>
        <rFont val="Calibri"/>
        <family val="2"/>
        <scheme val="minor"/>
      </rPr>
      <t xml:space="preserve">
21-40% -3 actividades
41-60% -3 actividades
61-80% -1 actividad
81 -100% -3 actividades
</t>
    </r>
    <r>
      <rPr>
        <b/>
        <sz val="10"/>
        <color theme="1"/>
        <rFont val="Calibri"/>
        <family val="2"/>
        <scheme val="minor"/>
      </rPr>
      <t xml:space="preserve">Tecnica
</t>
    </r>
    <r>
      <rPr>
        <sz val="10"/>
        <color theme="1"/>
        <rFont val="Calibri"/>
        <family val="2"/>
        <scheme val="minor"/>
      </rPr>
      <t xml:space="preserve">0-20% -2 actividades
21-40% -2 actividades
41-60% - 2 actividades
</t>
    </r>
  </si>
  <si>
    <t>Durante el semestre se han entregado 1.095 incentivos, de un total de 7.095 proyectados para toda la vigencia, lo que representa un avance del 14%. Este resultado evidencia un cumplimiento por debajo de lo programado para el semestre, con un déficit del 36%, equivalente a 2.867 incentivos no entregados en el periodo analizado.</t>
  </si>
  <si>
    <t xml:space="preserve">Durante el primer semestre se logró impactar a 28.873 beneficiarios mediante actividades desarrolladas en los programas de actividad física, semilleros y recreación. Esto representa un cumplimiento del 42% frente al 50% programado para el semestre, evidenciando un avance parcial que requiere fortalecerse en el segundo periodo para alcanzar la meta anual </t>
  </si>
  <si>
    <t>Durante el primer semestre se contó con la contratación de únicamente 22 formadores, lo que implicó un esfuerzo significativo para el cumplimiento de las metas programadas. A pesar de esta limitación, se alcanzó un cumplimiento del 28,63%, con un total de 856 personas participando en los procesos de formación. Este resultado refleja el compromiso institucional, pero también resalta la necesidad de fortalecer las estrategias y recursos disponibles para incrementar el cumplimiento durante el segundo semestre</t>
  </si>
  <si>
    <t>Durante el semestre se alcanzó un cumplimiento del 73,76% en la meta de preparación de atletas de alto rendimiento, con un total de 1.729 deportistas formados de los 2.344 proyectados. Este resultado representa un avance significativo y refleja el impacto positivo de las acciones implementadas. La efectividad del proceso se evidencia en la participación activa de los atletas en diversos eventos de carácter nacional, lo que reafirma el fortalecimiento del desarrollo deportivo.</t>
  </si>
  <si>
    <t>Teniendo en cuenta el total de la población del departamento del Cauca, se identifica que únicamente el 2,05 % ha sido impactado por los proyectos ejecutados por Indeportes Cauca. Este dato evidencia un alcance limitado en términos de cobertura poblacional, lo que resalta la necesidad de fortalecer las estrategias de intervención, ampliar la cobertura territorial y garantizar una mayor inclusión de comunidades en condición de vulnerabilidad o con baja participación en procesos deportivos, Cabe resaltar que el departamento enfrenta actualmente dificultades en varios territorios como consecuencia del deterioro del orden público, producto de hechos violentos que han afectado el normal desarrollo de las actividades</t>
  </si>
  <si>
    <t>A la fecha del informe, se ha logrado impactar la totalidad de los 42 municipios del departamento, a través de la ejecución de cada uno de los proyectos de inversión actualmente en desarrollo.</t>
  </si>
  <si>
    <t>Para este periodo se han organizado los archivos de gestion de  control interno, financiera y tecnica, para un total de 90 seriers documentales organizadas en los difrentes procesos del instituto</t>
  </si>
  <si>
    <t>De 14 actividades estimadas en el PINAR para la vigencia, se han realizado nueve, par un porcentaje de cumplimiento del 64%, de las cuales no se han ejecuta actividades encaminadas a los documentos electronicos</t>
  </si>
  <si>
    <t>Para el semestre se continuado realizando actividades en al elaboraccion del Formato FUID del archivo historico y  la valoración documental del archivo central, para un total de 11 actividades implementadas el cual nos arroja un porcentaje de 78,57%</t>
  </si>
  <si>
    <t>Para este indicador no se tiene información para el semestre, ya que se esta acondicionando el archivo para poder recibir las transferencias documentales</t>
  </si>
  <si>
    <t>30 DE 
ABRIL</t>
  </si>
  <si>
    <t>Semestre</t>
  </si>
  <si>
    <t>Parsa este semestre se han radicado 29 PQRSf de las cuales se han respondido 8 de manera satisfactoria, desde archivo se notifica a todos los responsables con el fin de minimizar el porcentaje de no contestacion</t>
  </si>
  <si>
    <t>Para este semestre se esta realizando la valoración documental para su eliminación</t>
  </si>
  <si>
    <t>Identificar el porcentaje de costos de consumo del instituto</t>
  </si>
  <si>
    <t>Se realiza un inventario en articulacion con la oficina de contro Interno.</t>
  </si>
  <si>
    <t>Para el primer semestre se tiene un consumo austero, ya que se ha consumido menos del 50% del total de materiales</t>
  </si>
  <si>
    <t>No se han realizado mantenimiento preventivo para este trimetre</t>
  </si>
  <si>
    <t>Sin Información</t>
  </si>
  <si>
    <t>Para el periodo de enero a junio se programaron 35 actividades de las cuales se programaron 34 actividades se ejeutaron, por tanto tenemos un cumplimiento del 97% para el semestre evaluado, pero para toda la vigenvia se encuentra en un 45,95%</t>
  </si>
  <si>
    <t xml:space="preserve">Durante el primer cuatrimestre de la vigencia 2025, se ha dado cumplimiento a 5 de las 14 actividades programadas en el cronograma del Plan de Bienestar Institucional de Indeportes Cauca, las cuales han contribuido al fortalecimiento del clima organizacional, la promoción del autocuidado y el fomento de los valores institucionales. 
</t>
  </si>
  <si>
    <t>El proximo seguimiento esta programado para el corte 30 de agosto</t>
  </si>
  <si>
    <t>El Plan de Capacitación Institucional de Indeportes Cauca para la vigencia 2025 contempla un total de 20 actividades formativas programadas en el cronograma. Durante el primer cuatrimestre del año, se ha avanzado de manera significativa en su implementación, logrando ejecutar 12 capacitaciones presenciales, así como impulsar la formación autónoma y virtual para facilitar el acceso y certificación de los servidores públicos.
Capacitaciones presenciales realizadas
Durante el periodo evaluado (enero–abril), se han desarrollado las siguientes 7 actividades de formación presencial:
Capacitación en Proyectos de Inversión – Banco de Proyectos de la Gobernación del Cauca:
Realizada en el mes de marzo, permitió fortalecer conocimientos clave para la formulación y seguimiento de proyectos de inversión pública.
Legislación y Administración Deportiva:
Capacitó al personal en aspectos normativos y de gestión en el ámbito deportivo, acorde con la misión institucional.
Capacitación sobre Clima Laboral y Relaciones Interpersonales:
Enfocada en el fortalecimiento de las habilidades sociales, la convivencia laboral y la cohesión entre equipos de trabajo.
Capacitación en el Código de Integridad:
Se desarrolló como parte del proceso de apropiación institucional de los valores del servicio público, orientando a los funcionarios sobre su aplicación práctica.
Conocimiento y Actualización en Gestión Documental:
Permitió reforzar procedimientos de archivo, radicación y manejo de la información institucional según la normativa vigente.
Integración y Fortalecimiento en Sistemas de Información:
Se inició el proceso de inscripción en abril, con ejecución programada para mayo. Esta actividad busca mejorar el manejo de herramientas tecnológicas institucionales.
Fortalecimiento Institucional en Sistemas:
Con enfoque en el uso eficiente de plataformas digitales y sistemas administrativos en la gestión pública.
Adicionalmente, se encuentra en curso el proceso de inscripción para la capacitación en Supervisión e Interventoría de Contratos Estatales, programada para mayo, en articulación con la Escuela Superior de Administración Pública (ESAP).
Formación autónoma y virtual
Como estrategia complementaria al plan y en concordancia con el enfoque de autogestión del aprendizaje, se entregó a los colaboradores institucionales un plan de opciones de formación virtual en plataformas públicas, permitiendo acceder y certificarse de forma autónoma en los siguientes 4 cursos contemplados en el cronograma:
Fundamentos del Modelo Integrado de Planeación y Gestión (MIPG)
Actualización en Normatividad del Sector Público
Ley 1712 de 2014 – Transparencia y Acceso a la Información Pública (Ley ITA):
Capacitación obligatoria anual según normativa vigente.
Contratación Estatal con énfasis en Supervisión de Contratos
Esta modalidad fomenta la autogestión del conocimiento, la corresponsabilidad en el desarrollo profesional y el cumplimiento de los requerimientos normativos aplicables a la función pública.
Actividades no ejecutadas por baja participación
Gracias a la gestión con el SENA, se ofertó el curso Fortalecimiento Institucional en Ámbitos Laborales – Habilidades Blandas. Sin embargo, no se cumplió con el número mínimo de inscritos requerido por la entidad formadora, motivo por el cual no fue posible su ejecución durante el periodo evaluado. Se está considerando reprogramarlo o reformular la estrategia de convocatoria para una nueva oportunidad.
Actividades pendientes
A la fecha, queda pendiente una actividad de capacitación por ejecutar del primer bloque del cronograma 2025:
Curso sobre Régimen Disciplinario:
Se encuentra en proceso de planificación para ser desarrollado en el siguiente periodo, con el fin de garantizar el conocimiento de los deberes, faltas y sanciones aplicables a los servidores públicos conforme al marco normativo.</t>
  </si>
  <si>
    <t>Para el corte de este seguimiento se ha logrado recaudar el 50% (licores, tasa, tabaco)</t>
  </si>
  <si>
    <t xml:space="preserve">Se cuenta con un incremento del 8% en referencia al seguimiento anterior, pero dado esto tenemos un cumplimiento positivo ya que se cumple con la meta programada </t>
  </si>
  <si>
    <t>(Total Presupuesto recaudado/ Total Presupuesto Inicial)*100</t>
  </si>
  <si>
    <t>(Total gastos Ejecutado/ Total  gastos Definitivo)*100</t>
  </si>
  <si>
    <t>De lo comprometido a 30 de abril, se han pagado el 23%, debido a que no se han presentado cuentas de cobro, en algunos casos no se ha cumplido el periodo contractual</t>
  </si>
  <si>
    <t xml:space="preserve">Se aumenta el porcentaje de gastos, ya que se da inicio a los proyectos, por consiguiente se incrementa el número de cuentas </t>
  </si>
  <si>
    <t>Cronograma PINAR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</si>
</sst>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
    <numFmt numFmtId="165" formatCode="_-* #,##0_-;\-* #,##0_-;_-* &quot;-&quot;??_-;_-@_-"/>
  </numFmts>
  <fonts count="1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4"/>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4"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xf numFmtId="44" fontId="4" fillId="0" borderId="0" applyFont="0" applyFill="0" applyBorder="0" applyAlignment="0" applyProtection="0"/>
  </cellStyleXfs>
  <cellXfs count="154">
    <xf numFmtId="0" fontId="0" fillId="0" borderId="0" xfId="0"/>
    <xf numFmtId="0" fontId="0" fillId="0" borderId="0" xfId="0" applyAlignment="1">
      <alignment horizontal="center" vertical="center" wrapText="1"/>
    </xf>
    <xf numFmtId="0" fontId="0" fillId="3" borderId="0" xfId="0" applyFill="1"/>
    <xf numFmtId="3" fontId="7" fillId="3"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xf>
    <xf numFmtId="0" fontId="7" fillId="0" borderId="1" xfId="0" applyFont="1" applyBorder="1" applyAlignment="1">
      <alignment horizontal="center" vertical="center" wrapText="1"/>
    </xf>
    <xf numFmtId="10"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10" fontId="0" fillId="0" borderId="1" xfId="2" applyNumberFormat="1" applyFont="1" applyBorder="1" applyAlignment="1">
      <alignment horizontal="center" vertical="center"/>
    </xf>
    <xf numFmtId="10" fontId="0" fillId="0" borderId="1" xfId="0" applyNumberFormat="1" applyBorder="1" applyAlignment="1">
      <alignment horizontal="center" vertical="center"/>
    </xf>
    <xf numFmtId="0" fontId="7" fillId="3" borderId="1" xfId="0" applyFont="1" applyFill="1" applyBorder="1" applyAlignment="1">
      <alignment horizontal="center"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xf>
    <xf numFmtId="9" fontId="0" fillId="0" borderId="1" xfId="1" applyFont="1" applyBorder="1" applyAlignment="1">
      <alignment horizontal="center" vertical="center"/>
    </xf>
    <xf numFmtId="0" fontId="0" fillId="0" borderId="0" xfId="0" applyAlignment="1">
      <alignment horizontal="center"/>
    </xf>
    <xf numFmtId="0" fontId="8"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10" fontId="0" fillId="3" borderId="1" xfId="0" applyNumberFormat="1" applyFill="1" applyBorder="1" applyAlignment="1">
      <alignment horizontal="center" vertical="center"/>
    </xf>
    <xf numFmtId="0" fontId="0" fillId="3" borderId="1" xfId="0" applyFill="1" applyBorder="1" applyAlignment="1">
      <alignment horizontal="center" vertical="center" wrapText="1"/>
    </xf>
    <xf numFmtId="9" fontId="0" fillId="0" borderId="1" xfId="1" applyNumberFormat="1" applyFont="1" applyBorder="1" applyAlignment="1">
      <alignment horizontal="center" vertical="center"/>
    </xf>
    <xf numFmtId="9" fontId="0" fillId="3" borderId="1" xfId="1" applyFont="1" applyFill="1" applyBorder="1" applyAlignment="1">
      <alignment horizontal="center" vertical="center" wrapText="1"/>
    </xf>
    <xf numFmtId="0" fontId="0" fillId="0" borderId="1" xfId="0" applyFont="1" applyBorder="1" applyAlignment="1">
      <alignment horizontal="center" vertical="top" wrapText="1"/>
    </xf>
    <xf numFmtId="10" fontId="0" fillId="3" borderId="1" xfId="1" applyNumberFormat="1" applyFont="1" applyFill="1" applyBorder="1" applyAlignment="1">
      <alignment horizontal="center" vertical="center"/>
    </xf>
    <xf numFmtId="0" fontId="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8" fillId="3"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Border="1"/>
    <xf numFmtId="0" fontId="0" fillId="3" borderId="1" xfId="0" applyFill="1" applyBorder="1"/>
    <xf numFmtId="9" fontId="0" fillId="0" borderId="0" xfId="0" applyNumberFormat="1"/>
    <xf numFmtId="9" fontId="0" fillId="0" borderId="0" xfId="1" applyFont="1"/>
    <xf numFmtId="0" fontId="0" fillId="0" borderId="1" xfId="0" applyBorder="1" applyAlignment="1">
      <alignment horizontal="center" vertical="center" wrapText="1"/>
    </xf>
    <xf numFmtId="0" fontId="7" fillId="0" borderId="1" xfId="0" applyFont="1" applyBorder="1" applyAlignment="1">
      <alignment horizontal="center" vertical="center"/>
    </xf>
    <xf numFmtId="9" fontId="0" fillId="0" borderId="1" xfId="0" applyNumberFormat="1" applyBorder="1"/>
    <xf numFmtId="1" fontId="0" fillId="0" borderId="1" xfId="0" applyNumberFormat="1" applyBorder="1"/>
    <xf numFmtId="165" fontId="0" fillId="0" borderId="1" xfId="2" applyNumberFormat="1" applyFont="1" applyBorder="1"/>
    <xf numFmtId="0" fontId="0" fillId="0" borderId="1" xfId="0" applyFont="1" applyBorder="1" applyAlignment="1">
      <alignment horizontal="center" vertical="center"/>
    </xf>
    <xf numFmtId="0" fontId="0" fillId="0" borderId="1" xfId="3" applyFont="1" applyBorder="1" applyAlignment="1">
      <alignment horizontal="center" vertical="center" wrapText="1"/>
    </xf>
    <xf numFmtId="0" fontId="0" fillId="3" borderId="1" xfId="0" applyFont="1" applyFill="1" applyBorder="1" applyAlignment="1">
      <alignment horizontal="center" vertical="center"/>
    </xf>
    <xf numFmtId="0" fontId="0" fillId="0" borderId="0" xfId="0" applyFont="1"/>
    <xf numFmtId="0" fontId="0"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0"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0" xfId="0" applyFont="1" applyAlignment="1">
      <alignment horizontal="center" vertical="center"/>
    </xf>
    <xf numFmtId="0" fontId="0" fillId="3" borderId="1" xfId="0" applyFont="1" applyFill="1" applyBorder="1" applyAlignment="1">
      <alignment horizontal="center" vertical="top" wrapText="1"/>
    </xf>
    <xf numFmtId="0" fontId="5" fillId="0" borderId="1" xfId="0" applyFont="1" applyBorder="1" applyAlignment="1">
      <alignment vertical="center"/>
    </xf>
    <xf numFmtId="0" fontId="5" fillId="0" borderId="10" xfId="0" applyFont="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16" xfId="0" applyFont="1" applyBorder="1" applyAlignment="1">
      <alignment vertical="center"/>
    </xf>
    <xf numFmtId="0" fontId="0" fillId="0" borderId="9" xfId="0" applyBorder="1" applyAlignment="1">
      <alignment vertical="center" wrapText="1"/>
    </xf>
    <xf numFmtId="0" fontId="0" fillId="0" borderId="5" xfId="0" applyBorder="1" applyAlignment="1">
      <alignment vertical="center" wrapText="1"/>
    </xf>
    <xf numFmtId="0" fontId="7"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9" fontId="0" fillId="3" borderId="1" xfId="1" applyNumberFormat="1" applyFont="1" applyFill="1" applyBorder="1" applyAlignment="1">
      <alignment horizontal="center" vertical="center"/>
    </xf>
    <xf numFmtId="0" fontId="7" fillId="3" borderId="1" xfId="0" applyFont="1" applyFill="1" applyBorder="1" applyAlignment="1">
      <alignment horizontal="center" vertical="center"/>
    </xf>
    <xf numFmtId="10" fontId="7"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10" fontId="0" fillId="0" borderId="1" xfId="0" applyNumberFormat="1" applyBorder="1" applyAlignment="1">
      <alignment horizontal="center" vertical="center"/>
    </xf>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0" fontId="0" fillId="3" borderId="1" xfId="0" applyNumberFormat="1" applyFont="1" applyFill="1" applyBorder="1" applyAlignment="1">
      <alignment horizontal="center" vertical="center"/>
    </xf>
    <xf numFmtId="9" fontId="0" fillId="3" borderId="1" xfId="0" applyNumberFormat="1" applyFont="1" applyFill="1" applyBorder="1" applyAlignment="1">
      <alignment horizontal="center" vertical="center" wrapText="1"/>
    </xf>
    <xf numFmtId="10" fontId="0" fillId="0" borderId="0" xfId="0" applyNumberFormat="1" applyAlignment="1">
      <alignment horizontal="center"/>
    </xf>
    <xf numFmtId="0" fontId="7"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3" borderId="1" xfId="0" applyFont="1" applyFill="1" applyBorder="1" applyAlignment="1">
      <alignment vertical="center" wrapText="1"/>
    </xf>
    <xf numFmtId="0" fontId="0" fillId="0" borderId="1" xfId="0" applyBorder="1" applyAlignment="1"/>
    <xf numFmtId="0" fontId="0" fillId="3"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1" xfId="0" applyBorder="1" applyAlignment="1">
      <alignment horizontal="center" vertical="center" wrapText="1"/>
    </xf>
    <xf numFmtId="0" fontId="0" fillId="3" borderId="1"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9" fontId="0" fillId="0" borderId="1" xfId="1" applyFont="1" applyBorder="1" applyAlignment="1">
      <alignment horizontal="center" vertical="center" wrapText="1"/>
    </xf>
    <xf numFmtId="10" fontId="7" fillId="3" borderId="1" xfId="1" applyNumberFormat="1" applyFont="1" applyFill="1" applyBorder="1" applyAlignment="1">
      <alignment horizontal="center" vertical="center"/>
    </xf>
    <xf numFmtId="10" fontId="7"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9" fontId="7" fillId="0" borderId="1" xfId="1" applyNumberFormat="1" applyFont="1" applyBorder="1" applyAlignment="1">
      <alignment horizontal="center" vertical="center"/>
    </xf>
    <xf numFmtId="10" fontId="7" fillId="0" borderId="1" xfId="1" applyNumberFormat="1"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10" fontId="0" fillId="0" borderId="18" xfId="1" applyNumberFormat="1" applyFont="1" applyBorder="1" applyAlignment="1">
      <alignment horizontal="center" vertical="center"/>
    </xf>
    <xf numFmtId="10" fontId="0" fillId="0" borderId="19" xfId="1" applyNumberFormat="1" applyFont="1" applyBorder="1" applyAlignment="1">
      <alignment horizontal="center" vertical="center"/>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10"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xf>
    <xf numFmtId="9" fontId="0" fillId="0" borderId="1" xfId="1" applyFont="1" applyBorder="1" applyAlignment="1">
      <alignment horizontal="center" vertical="center"/>
    </xf>
    <xf numFmtId="10" fontId="0" fillId="0" borderId="1" xfId="0" applyNumberFormat="1" applyBorder="1" applyAlignment="1">
      <alignment horizontal="center" vertical="center"/>
    </xf>
    <xf numFmtId="9" fontId="7" fillId="0" borderId="1" xfId="0" applyNumberFormat="1" applyFont="1" applyBorder="1" applyAlignment="1">
      <alignment horizontal="center" vertical="center"/>
    </xf>
    <xf numFmtId="0" fontId="7"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9" fontId="7" fillId="0" borderId="1" xfId="1" applyFont="1" applyBorder="1" applyAlignment="1">
      <alignment horizontal="center" vertical="center"/>
    </xf>
    <xf numFmtId="0" fontId="7" fillId="3" borderId="1" xfId="0" applyFont="1"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3" borderId="16"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0" fontId="7" fillId="0" borderId="6" xfId="1" applyNumberFormat="1" applyFont="1" applyBorder="1" applyAlignment="1">
      <alignment horizontal="center" vertical="center"/>
    </xf>
    <xf numFmtId="10" fontId="7" fillId="0" borderId="7" xfId="1" applyNumberFormat="1" applyFont="1" applyBorder="1" applyAlignment="1">
      <alignment horizontal="center" vertical="center"/>
    </xf>
    <xf numFmtId="10" fontId="7" fillId="0" borderId="3" xfId="1" applyNumberFormat="1" applyFont="1" applyBorder="1" applyAlignment="1">
      <alignment horizontal="center" vertical="center"/>
    </xf>
    <xf numFmtId="10" fontId="7" fillId="0" borderId="8" xfId="1" applyNumberFormat="1" applyFont="1" applyBorder="1" applyAlignment="1">
      <alignment horizontal="center" vertical="center"/>
    </xf>
    <xf numFmtId="0" fontId="8" fillId="2" borderId="1"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3" fontId="7" fillId="0" borderId="18" xfId="0" applyNumberFormat="1" applyFont="1" applyBorder="1" applyAlignment="1">
      <alignment horizontal="center" vertical="center" wrapText="1"/>
    </xf>
    <xf numFmtId="3" fontId="7" fillId="0" borderId="19" xfId="0" applyNumberFormat="1"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44" fontId="0" fillId="0" borderId="0" xfId="4" applyFont="1" applyAlignment="1">
      <alignment horizontal="center"/>
    </xf>
    <xf numFmtId="0" fontId="10" fillId="0" borderId="1" xfId="0" applyFont="1" applyBorder="1" applyAlignment="1">
      <alignment horizontal="center" vertical="center" wrapText="1"/>
    </xf>
    <xf numFmtId="9" fontId="4" fillId="3" borderId="1" xfId="1" applyFont="1" applyFill="1" applyBorder="1" applyAlignment="1">
      <alignment horizontal="center" vertical="center" wrapText="1"/>
    </xf>
    <xf numFmtId="0" fontId="0" fillId="3" borderId="10" xfId="0" applyFont="1" applyFill="1" applyBorder="1" applyAlignment="1">
      <alignment horizontal="center" vertical="center" wrapText="1"/>
    </xf>
  </cellXfs>
  <cellStyles count="5">
    <cellStyle name="Hipervínculo" xfId="3" builtinId="8"/>
    <cellStyle name="Millares" xfId="2" builtinId="3"/>
    <cellStyle name="Moneda" xfId="4" builtinId="4"/>
    <cellStyle name="Normal" xfId="0" builtinId="0"/>
    <cellStyle name="Porcentaje" xfId="1" builtinId="5"/>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55567</xdr:colOff>
      <xdr:row>0</xdr:row>
      <xdr:rowOff>165238</xdr:rowOff>
    </xdr:from>
    <xdr:to>
      <xdr:col>1</xdr:col>
      <xdr:colOff>1503367</xdr:colOff>
      <xdr:row>1</xdr:row>
      <xdr:rowOff>188570</xdr:rowOff>
    </xdr:to>
    <xdr:pic>
      <xdr:nvPicPr>
        <xdr:cNvPr id="7" name="Imagen 6">
          <a:extLst>
            <a:ext uri="{FF2B5EF4-FFF2-40B4-BE49-F238E27FC236}">
              <a16:creationId xmlns:a16="http://schemas.microsoft.com/office/drawing/2014/main" id="{85DA99DC-AC45-D187-963D-3A83857D6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7" y="165238"/>
          <a:ext cx="2738438" cy="690082"/>
        </a:xfrm>
        <a:prstGeom prst="rect">
          <a:avLst/>
        </a:prstGeom>
      </xdr:spPr>
    </xdr:pic>
    <xdr:clientData/>
  </xdr:twoCellAnchor>
  <xdr:twoCellAnchor editAs="oneCell">
    <xdr:from>
      <xdr:col>11</xdr:col>
      <xdr:colOff>193261</xdr:colOff>
      <xdr:row>0</xdr:row>
      <xdr:rowOff>74191</xdr:rowOff>
    </xdr:from>
    <xdr:to>
      <xdr:col>12</xdr:col>
      <xdr:colOff>1945274</xdr:colOff>
      <xdr:row>1</xdr:row>
      <xdr:rowOff>322668</xdr:rowOff>
    </xdr:to>
    <xdr:pic>
      <xdr:nvPicPr>
        <xdr:cNvPr id="2" name="Imagen 1">
          <a:extLst>
            <a:ext uri="{FF2B5EF4-FFF2-40B4-BE49-F238E27FC236}">
              <a16:creationId xmlns:a16="http://schemas.microsoft.com/office/drawing/2014/main" id="{3412F2B5-F599-41F7-9140-1989A4E98A5E}"/>
            </a:ext>
          </a:extLst>
        </xdr:cNvPr>
        <xdr:cNvPicPr/>
      </xdr:nvPicPr>
      <xdr:blipFill>
        <a:blip xmlns:r="http://schemas.openxmlformats.org/officeDocument/2006/relationships" r:embed="rId2"/>
        <a:stretch>
          <a:fillRect/>
        </a:stretch>
      </xdr:blipFill>
      <xdr:spPr>
        <a:xfrm>
          <a:off x="10575511" y="264691"/>
          <a:ext cx="2027054" cy="9152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view="pageBreakPreview" zoomScale="90" zoomScaleNormal="70" zoomScaleSheetLayoutView="90" workbookViewId="0">
      <pane ySplit="6" topLeftCell="A7" activePane="bottomLeft" state="frozen"/>
      <selection pane="bottomLeft" activeCell="I42" sqref="I42"/>
    </sheetView>
  </sheetViews>
  <sheetFormatPr baseColWidth="10" defaultRowHeight="14.5" x14ac:dyDescent="0.35"/>
  <cols>
    <col min="1" max="1" width="18.453125" style="1" customWidth="1"/>
    <col min="2" max="2" width="24.1796875" customWidth="1"/>
    <col min="3" max="3" width="11.1796875" hidden="1" customWidth="1"/>
    <col min="4" max="4" width="22.90625" customWidth="1"/>
    <col min="5" max="5" width="24.36328125" customWidth="1"/>
    <col min="6" max="6" width="8.1796875" customWidth="1"/>
    <col min="7" max="7" width="11.453125" customWidth="1"/>
    <col min="8" max="8" width="9.26953125" customWidth="1"/>
    <col min="9" max="9" width="11.6328125" style="45" customWidth="1"/>
    <col min="10" max="10" width="13.1796875" customWidth="1"/>
    <col min="11" max="11" width="4.453125" customWidth="1"/>
    <col min="12" max="12" width="3.90625" customWidth="1"/>
    <col min="13" max="13" width="33.90625" style="51" customWidth="1"/>
    <col min="14" max="14" width="11.08984375" style="16" customWidth="1"/>
    <col min="15" max="15" width="43" style="16" customWidth="1"/>
    <col min="16" max="16" width="22.1796875" hidden="1" customWidth="1"/>
    <col min="17" max="17" width="20.1796875" hidden="1" customWidth="1"/>
    <col min="18" max="18" width="16" hidden="1" customWidth="1"/>
    <col min="19" max="19" width="23.1796875" hidden="1" customWidth="1"/>
    <col min="20" max="20" width="0" hidden="1" customWidth="1"/>
  </cols>
  <sheetData>
    <row r="1" spans="1:19" ht="52.5" customHeight="1" x14ac:dyDescent="0.35">
      <c r="A1" s="127"/>
      <c r="B1" s="128"/>
      <c r="C1" s="89" t="s">
        <v>65</v>
      </c>
      <c r="D1" s="89"/>
      <c r="E1" s="89"/>
      <c r="F1" s="89"/>
      <c r="G1" s="89"/>
      <c r="H1" s="89"/>
      <c r="I1" s="89"/>
      <c r="J1" s="89"/>
      <c r="K1" s="89"/>
      <c r="L1" s="89"/>
      <c r="M1" s="90"/>
      <c r="N1" s="54"/>
      <c r="O1" s="53"/>
      <c r="P1" s="53"/>
      <c r="Q1" s="84"/>
      <c r="R1" s="84"/>
      <c r="S1" s="84"/>
    </row>
    <row r="2" spans="1:19" ht="32" customHeight="1" x14ac:dyDescent="0.35">
      <c r="A2" s="129"/>
      <c r="B2" s="130"/>
      <c r="C2" s="136" t="s">
        <v>215</v>
      </c>
      <c r="D2" s="136"/>
      <c r="E2" s="136"/>
      <c r="F2" s="136"/>
      <c r="G2" s="136"/>
      <c r="H2" s="136"/>
      <c r="I2" s="136"/>
      <c r="J2" s="136"/>
      <c r="K2" s="91"/>
      <c r="L2" s="91"/>
      <c r="M2" s="92"/>
      <c r="N2" s="56"/>
      <c r="O2" s="55"/>
      <c r="P2" s="55"/>
      <c r="Q2" s="84"/>
      <c r="R2" s="84"/>
      <c r="S2" s="84"/>
    </row>
    <row r="3" spans="1:19" ht="19.5" customHeight="1" thickBot="1" x14ac:dyDescent="0.4">
      <c r="A3" s="131" t="s">
        <v>62</v>
      </c>
      <c r="B3" s="132"/>
      <c r="C3" s="133" t="s">
        <v>63</v>
      </c>
      <c r="D3" s="133"/>
      <c r="E3" s="133"/>
      <c r="F3" s="133" t="s">
        <v>64</v>
      </c>
      <c r="G3" s="133"/>
      <c r="H3" s="133"/>
      <c r="I3" s="59" t="s">
        <v>61</v>
      </c>
      <c r="J3" s="137" t="s">
        <v>61</v>
      </c>
      <c r="K3" s="137"/>
      <c r="L3" s="137"/>
      <c r="M3" s="138"/>
      <c r="N3" s="58"/>
      <c r="O3" s="57"/>
      <c r="P3" s="57"/>
      <c r="Q3" s="57"/>
      <c r="R3" s="57"/>
      <c r="S3" s="57"/>
    </row>
    <row r="4" spans="1:19" ht="11.5" customHeight="1" x14ac:dyDescent="0.35">
      <c r="A4" s="60"/>
      <c r="B4" s="61"/>
      <c r="C4" s="61"/>
      <c r="D4" s="61"/>
      <c r="E4" s="61"/>
      <c r="F4" s="61"/>
      <c r="G4" s="61"/>
      <c r="H4" s="61"/>
      <c r="I4" s="61"/>
      <c r="J4" s="61"/>
      <c r="K4" s="61"/>
      <c r="L4" s="61"/>
      <c r="M4" s="61"/>
      <c r="N4" s="61"/>
      <c r="O4" s="61"/>
      <c r="P4" s="61"/>
      <c r="Q4" s="61"/>
      <c r="R4" s="61"/>
      <c r="S4" s="61"/>
    </row>
    <row r="5" spans="1:19" ht="27" customHeight="1" x14ac:dyDescent="0.35">
      <c r="A5" s="134" t="s">
        <v>7</v>
      </c>
      <c r="B5" s="108" t="s">
        <v>0</v>
      </c>
      <c r="C5" s="108" t="s">
        <v>104</v>
      </c>
      <c r="D5" s="108" t="s">
        <v>1</v>
      </c>
      <c r="E5" s="99" t="s">
        <v>2</v>
      </c>
      <c r="F5" s="99" t="s">
        <v>3</v>
      </c>
      <c r="G5" s="108" t="s">
        <v>5</v>
      </c>
      <c r="H5" s="108" t="s">
        <v>6</v>
      </c>
      <c r="I5" s="108" t="s">
        <v>21</v>
      </c>
      <c r="J5" s="99" t="s">
        <v>4</v>
      </c>
      <c r="K5" s="100" t="s">
        <v>251</v>
      </c>
      <c r="L5" s="101"/>
      <c r="M5" s="99" t="s">
        <v>171</v>
      </c>
      <c r="N5" s="108" t="s">
        <v>177</v>
      </c>
      <c r="O5" s="99" t="s">
        <v>171</v>
      </c>
      <c r="P5" s="109" t="s">
        <v>176</v>
      </c>
      <c r="Q5" s="99" t="s">
        <v>171</v>
      </c>
      <c r="R5" s="109" t="s">
        <v>178</v>
      </c>
      <c r="S5" s="99" t="s">
        <v>171</v>
      </c>
    </row>
    <row r="6" spans="1:19" ht="20.5" customHeight="1" x14ac:dyDescent="0.35">
      <c r="A6" s="135"/>
      <c r="B6" s="108"/>
      <c r="C6" s="108"/>
      <c r="D6" s="108"/>
      <c r="E6" s="99"/>
      <c r="F6" s="99"/>
      <c r="G6" s="108"/>
      <c r="H6" s="108"/>
      <c r="I6" s="108"/>
      <c r="J6" s="99"/>
      <c r="K6" s="102"/>
      <c r="L6" s="103"/>
      <c r="M6" s="99"/>
      <c r="N6" s="108"/>
      <c r="O6" s="99"/>
      <c r="P6" s="109"/>
      <c r="Q6" s="99"/>
      <c r="R6" s="109"/>
      <c r="S6" s="99"/>
    </row>
    <row r="7" spans="1:19" ht="34" customHeight="1" x14ac:dyDescent="0.35">
      <c r="A7" s="143" t="s">
        <v>8</v>
      </c>
      <c r="B7" s="144" t="s">
        <v>141</v>
      </c>
      <c r="C7" s="70"/>
      <c r="D7" s="112" t="s">
        <v>142</v>
      </c>
      <c r="E7" s="112" t="s">
        <v>143</v>
      </c>
      <c r="F7" s="146">
        <v>80</v>
      </c>
      <c r="G7" s="148" t="s">
        <v>19</v>
      </c>
      <c r="H7" s="148" t="s">
        <v>22</v>
      </c>
      <c r="I7" s="112" t="s">
        <v>203</v>
      </c>
      <c r="J7" s="148" t="s">
        <v>38</v>
      </c>
      <c r="K7" s="139">
        <f>29/45</f>
        <v>0.64444444444444449</v>
      </c>
      <c r="L7" s="140"/>
      <c r="M7" s="112" t="s">
        <v>214</v>
      </c>
      <c r="N7" s="114">
        <f>43/45</f>
        <v>0.9555555555555556</v>
      </c>
      <c r="O7" s="116" t="s">
        <v>240</v>
      </c>
      <c r="P7" s="106"/>
      <c r="Q7" s="110"/>
      <c r="R7" s="106"/>
      <c r="S7" s="110"/>
    </row>
    <row r="8" spans="1:19" ht="46.5" customHeight="1" x14ac:dyDescent="0.35">
      <c r="A8" s="143"/>
      <c r="B8" s="145"/>
      <c r="C8" s="6" t="s">
        <v>109</v>
      </c>
      <c r="D8" s="113"/>
      <c r="E8" s="113"/>
      <c r="F8" s="147"/>
      <c r="G8" s="149"/>
      <c r="H8" s="149"/>
      <c r="I8" s="113"/>
      <c r="J8" s="149"/>
      <c r="K8" s="141"/>
      <c r="L8" s="142"/>
      <c r="M8" s="113"/>
      <c r="N8" s="115"/>
      <c r="O8" s="117"/>
      <c r="P8" s="107"/>
      <c r="Q8" s="111"/>
      <c r="R8" s="107"/>
      <c r="S8" s="111"/>
    </row>
    <row r="9" spans="1:19" ht="80" customHeight="1" x14ac:dyDescent="0.35">
      <c r="A9" s="17" t="s">
        <v>8</v>
      </c>
      <c r="B9" s="6" t="s">
        <v>23</v>
      </c>
      <c r="C9" s="6" t="s">
        <v>110</v>
      </c>
      <c r="D9" s="8" t="s">
        <v>24</v>
      </c>
      <c r="E9" s="8" t="s">
        <v>43</v>
      </c>
      <c r="F9" s="4">
        <v>80</v>
      </c>
      <c r="G9" s="14" t="s">
        <v>86</v>
      </c>
      <c r="H9" s="14" t="s">
        <v>22</v>
      </c>
      <c r="I9" s="42" t="s">
        <v>193</v>
      </c>
      <c r="J9" s="29" t="s">
        <v>175</v>
      </c>
      <c r="K9" s="105">
        <f>(16/42)</f>
        <v>0.38095238095238093</v>
      </c>
      <c r="L9" s="105"/>
      <c r="M9" s="26" t="s">
        <v>194</v>
      </c>
      <c r="N9" s="49">
        <f>42/42</f>
        <v>1</v>
      </c>
      <c r="O9" s="26" t="s">
        <v>246</v>
      </c>
      <c r="P9" s="33"/>
      <c r="Q9" s="33"/>
      <c r="R9" s="33"/>
      <c r="S9" s="33"/>
    </row>
    <row r="10" spans="1:19" s="2" customFormat="1" ht="92" customHeight="1" x14ac:dyDescent="0.35">
      <c r="A10" s="17" t="s">
        <v>9</v>
      </c>
      <c r="B10" s="64" t="s">
        <v>144</v>
      </c>
      <c r="C10" s="47" t="s">
        <v>105</v>
      </c>
      <c r="D10" s="65" t="s">
        <v>145</v>
      </c>
      <c r="E10" s="65" t="s">
        <v>217</v>
      </c>
      <c r="F10" s="67">
        <v>10</v>
      </c>
      <c r="G10" s="67" t="s">
        <v>19</v>
      </c>
      <c r="H10" s="67" t="s">
        <v>22</v>
      </c>
      <c r="I10" s="44" t="s">
        <v>224</v>
      </c>
      <c r="J10" s="67" t="s">
        <v>26</v>
      </c>
      <c r="K10" s="97"/>
      <c r="L10" s="97"/>
      <c r="M10" s="65" t="s">
        <v>232</v>
      </c>
      <c r="N10" s="68">
        <f>(77.4-80.8)/100</f>
        <v>-3.3999999999999912E-2</v>
      </c>
      <c r="O10" s="69" t="s">
        <v>218</v>
      </c>
      <c r="P10" s="34"/>
      <c r="Q10" s="34"/>
      <c r="R10" s="34"/>
      <c r="S10" s="34"/>
    </row>
    <row r="11" spans="1:19" ht="83" customHeight="1" x14ac:dyDescent="0.35">
      <c r="A11" s="17" t="s">
        <v>9</v>
      </c>
      <c r="B11" s="6" t="s">
        <v>28</v>
      </c>
      <c r="C11" s="6" t="s">
        <v>106</v>
      </c>
      <c r="D11" s="8" t="s">
        <v>146</v>
      </c>
      <c r="E11" s="8" t="s">
        <v>27</v>
      </c>
      <c r="F11" s="14">
        <v>85</v>
      </c>
      <c r="G11" s="14" t="s">
        <v>19</v>
      </c>
      <c r="H11" s="14" t="s">
        <v>22</v>
      </c>
      <c r="I11" s="26" t="s">
        <v>225</v>
      </c>
      <c r="J11" s="29" t="s">
        <v>175</v>
      </c>
      <c r="K11" s="97">
        <f>((1.22+6.48+9.43+14.55)/6)/100</f>
        <v>5.28E-2</v>
      </c>
      <c r="L11" s="97"/>
      <c r="M11" s="26" t="s">
        <v>204</v>
      </c>
      <c r="N11" s="72">
        <f>((78+28.6+73.8+18.5+37.5)/6)/100</f>
        <v>0.39399999999999996</v>
      </c>
      <c r="O11" s="87" t="s">
        <v>227</v>
      </c>
      <c r="P11" s="33"/>
      <c r="Q11" s="33"/>
      <c r="R11" s="33"/>
      <c r="S11" s="33"/>
    </row>
    <row r="12" spans="1:19" ht="77.5" customHeight="1" x14ac:dyDescent="0.35">
      <c r="A12" s="17" t="s">
        <v>9</v>
      </c>
      <c r="B12" s="6" t="s">
        <v>87</v>
      </c>
      <c r="C12" s="6" t="s">
        <v>107</v>
      </c>
      <c r="D12" s="8" t="s">
        <v>147</v>
      </c>
      <c r="E12" s="8" t="s">
        <v>88</v>
      </c>
      <c r="F12" s="14">
        <v>100</v>
      </c>
      <c r="G12" s="14" t="s">
        <v>19</v>
      </c>
      <c r="H12" s="14" t="s">
        <v>22</v>
      </c>
      <c r="I12" s="42" t="s">
        <v>193</v>
      </c>
      <c r="J12" s="29" t="s">
        <v>175</v>
      </c>
      <c r="K12" s="98">
        <f>15/60</f>
        <v>0.25</v>
      </c>
      <c r="L12" s="98"/>
      <c r="M12" s="26" t="s">
        <v>221</v>
      </c>
      <c r="N12" s="11">
        <f>25/60</f>
        <v>0.41666666666666669</v>
      </c>
      <c r="O12" s="151" t="s">
        <v>222</v>
      </c>
      <c r="P12" s="33"/>
      <c r="Q12" s="33"/>
      <c r="R12" s="33"/>
      <c r="S12" s="33"/>
    </row>
    <row r="13" spans="1:19" ht="86.5" customHeight="1" x14ac:dyDescent="0.35">
      <c r="A13" s="17" t="s">
        <v>9</v>
      </c>
      <c r="B13" s="25" t="s">
        <v>195</v>
      </c>
      <c r="C13" s="25" t="s">
        <v>108</v>
      </c>
      <c r="D13" s="37" t="s">
        <v>196</v>
      </c>
      <c r="E13" s="37" t="s">
        <v>197</v>
      </c>
      <c r="F13" s="38">
        <v>75</v>
      </c>
      <c r="G13" s="38" t="s">
        <v>19</v>
      </c>
      <c r="H13" s="38" t="s">
        <v>22</v>
      </c>
      <c r="I13" s="43" t="s">
        <v>198</v>
      </c>
      <c r="J13" s="38" t="s">
        <v>175</v>
      </c>
      <c r="K13" s="98">
        <f>468930188/8693550151</f>
        <v>5.3940010680913829E-2</v>
      </c>
      <c r="L13" s="98"/>
      <c r="M13" s="26" t="s">
        <v>199</v>
      </c>
      <c r="N13" s="11">
        <f>1466427278/8938193292</f>
        <v>0.16406305279977604</v>
      </c>
      <c r="O13" s="30" t="s">
        <v>223</v>
      </c>
      <c r="P13" s="33"/>
      <c r="Q13" s="33"/>
      <c r="R13" s="33"/>
      <c r="S13" s="33"/>
    </row>
    <row r="14" spans="1:19" ht="176.5" customHeight="1" x14ac:dyDescent="0.35">
      <c r="A14" s="17" t="s">
        <v>10</v>
      </c>
      <c r="B14" s="6" t="s">
        <v>76</v>
      </c>
      <c r="C14" s="6" t="s">
        <v>111</v>
      </c>
      <c r="D14" s="8" t="s">
        <v>69</v>
      </c>
      <c r="E14" s="8" t="s">
        <v>180</v>
      </c>
      <c r="F14" s="3">
        <v>75</v>
      </c>
      <c r="G14" s="6" t="s">
        <v>19</v>
      </c>
      <c r="H14" s="14" t="s">
        <v>22</v>
      </c>
      <c r="I14" s="26" t="s">
        <v>181</v>
      </c>
      <c r="J14" s="6" t="s">
        <v>38</v>
      </c>
      <c r="K14" s="96">
        <f>512/7924</f>
        <v>6.4613831398283694E-2</v>
      </c>
      <c r="L14" s="96"/>
      <c r="M14" s="23" t="s">
        <v>200</v>
      </c>
      <c r="N14" s="15">
        <f>1095/7924</f>
        <v>0.13818778394750125</v>
      </c>
      <c r="O14" s="26" t="s">
        <v>241</v>
      </c>
      <c r="P14" s="33"/>
      <c r="Q14" s="33"/>
      <c r="R14" s="33"/>
      <c r="S14" s="33"/>
    </row>
    <row r="15" spans="1:19" ht="172.5" customHeight="1" x14ac:dyDescent="0.35">
      <c r="A15" s="17" t="s">
        <v>10</v>
      </c>
      <c r="B15" s="6" t="s">
        <v>78</v>
      </c>
      <c r="C15" s="6" t="s">
        <v>112</v>
      </c>
      <c r="D15" s="8" t="s">
        <v>70</v>
      </c>
      <c r="E15" s="8" t="s">
        <v>95</v>
      </c>
      <c r="F15" s="12">
        <v>75</v>
      </c>
      <c r="G15" s="6" t="s">
        <v>29</v>
      </c>
      <c r="H15" s="14" t="s">
        <v>22</v>
      </c>
      <c r="I15" s="26" t="s">
        <v>185</v>
      </c>
      <c r="J15" s="14" t="s">
        <v>71</v>
      </c>
      <c r="K15" s="96">
        <f>1128/69009</f>
        <v>1.6345694039907838E-2</v>
      </c>
      <c r="L15" s="96"/>
      <c r="M15" s="23" t="s">
        <v>192</v>
      </c>
      <c r="N15" s="15">
        <f>28873/69009</f>
        <v>0.41839470214030056</v>
      </c>
      <c r="O15" s="26" t="s">
        <v>242</v>
      </c>
      <c r="P15" s="33"/>
      <c r="Q15" s="33"/>
      <c r="R15" s="33"/>
      <c r="S15" s="33"/>
    </row>
    <row r="16" spans="1:19" ht="198" customHeight="1" x14ac:dyDescent="0.35">
      <c r="A16" s="17" t="s">
        <v>10</v>
      </c>
      <c r="B16" s="6" t="s">
        <v>75</v>
      </c>
      <c r="C16" s="6" t="s">
        <v>113</v>
      </c>
      <c r="D16" s="8" t="s">
        <v>68</v>
      </c>
      <c r="E16" s="8" t="s">
        <v>83</v>
      </c>
      <c r="F16" s="3">
        <v>75</v>
      </c>
      <c r="G16" s="6" t="s">
        <v>29</v>
      </c>
      <c r="H16" s="6" t="s">
        <v>22</v>
      </c>
      <c r="I16" s="26" t="s">
        <v>186</v>
      </c>
      <c r="J16" s="14" t="s">
        <v>38</v>
      </c>
      <c r="K16" s="96">
        <f>282/2990</f>
        <v>9.4314381270903011E-2</v>
      </c>
      <c r="L16" s="96"/>
      <c r="M16" s="86" t="s">
        <v>191</v>
      </c>
      <c r="N16" s="7">
        <f>856/2990</f>
        <v>0.28628762541806019</v>
      </c>
      <c r="O16" s="26" t="s">
        <v>243</v>
      </c>
      <c r="P16" s="33"/>
      <c r="Q16" s="33"/>
      <c r="R16" s="33"/>
      <c r="S16" s="33"/>
    </row>
    <row r="17" spans="1:19" ht="170" customHeight="1" x14ac:dyDescent="0.35">
      <c r="A17" s="17" t="s">
        <v>10</v>
      </c>
      <c r="B17" s="6" t="s">
        <v>73</v>
      </c>
      <c r="C17" s="6" t="s">
        <v>114</v>
      </c>
      <c r="D17" s="8" t="s">
        <v>66</v>
      </c>
      <c r="E17" s="8" t="s">
        <v>84</v>
      </c>
      <c r="F17" s="3">
        <v>75</v>
      </c>
      <c r="G17" s="6" t="s">
        <v>29</v>
      </c>
      <c r="H17" s="14" t="s">
        <v>22</v>
      </c>
      <c r="I17" s="26" t="s">
        <v>187</v>
      </c>
      <c r="J17" s="14" t="s">
        <v>38</v>
      </c>
      <c r="K17" s="95">
        <f>(341/2344)</f>
        <v>0.1454778156996587</v>
      </c>
      <c r="L17" s="95"/>
      <c r="M17" s="26" t="s">
        <v>190</v>
      </c>
      <c r="N17" s="7">
        <f>1729/2344</f>
        <v>0.73762798634812288</v>
      </c>
      <c r="O17" s="1" t="s">
        <v>244</v>
      </c>
      <c r="P17" s="33"/>
      <c r="Q17" s="33"/>
      <c r="R17" s="33"/>
      <c r="S17" s="33"/>
    </row>
    <row r="18" spans="1:19" ht="110.5" customHeight="1" x14ac:dyDescent="0.35">
      <c r="A18" s="17" t="s">
        <v>10</v>
      </c>
      <c r="B18" s="6" t="s">
        <v>74</v>
      </c>
      <c r="C18" s="6" t="s">
        <v>115</v>
      </c>
      <c r="D18" s="8" t="s">
        <v>67</v>
      </c>
      <c r="E18" s="8" t="s">
        <v>148</v>
      </c>
      <c r="F18" s="12">
        <v>75</v>
      </c>
      <c r="G18" s="6" t="s">
        <v>29</v>
      </c>
      <c r="H18" s="6" t="s">
        <v>22</v>
      </c>
      <c r="I18" s="26" t="s">
        <v>187</v>
      </c>
      <c r="J18" s="14" t="s">
        <v>38</v>
      </c>
      <c r="K18" s="93">
        <v>0</v>
      </c>
      <c r="L18" s="94"/>
      <c r="M18" s="26" t="s">
        <v>201</v>
      </c>
      <c r="N18" s="15">
        <v>0</v>
      </c>
      <c r="O18" s="26" t="s">
        <v>201</v>
      </c>
      <c r="P18" s="33"/>
      <c r="Q18" s="33"/>
      <c r="R18" s="33"/>
      <c r="S18" s="33"/>
    </row>
    <row r="19" spans="1:19" ht="100.5" customHeight="1" x14ac:dyDescent="0.35">
      <c r="A19" s="17" t="s">
        <v>10</v>
      </c>
      <c r="B19" s="6" t="s">
        <v>77</v>
      </c>
      <c r="C19" s="6" t="s">
        <v>116</v>
      </c>
      <c r="D19" s="8" t="s">
        <v>72</v>
      </c>
      <c r="E19" s="8" t="s">
        <v>85</v>
      </c>
      <c r="F19" s="12">
        <v>75</v>
      </c>
      <c r="G19" s="6" t="s">
        <v>29</v>
      </c>
      <c r="H19" s="6" t="s">
        <v>22</v>
      </c>
      <c r="I19" s="26" t="s">
        <v>187</v>
      </c>
      <c r="J19" s="14" t="s">
        <v>38</v>
      </c>
      <c r="K19" s="120">
        <v>0</v>
      </c>
      <c r="L19" s="120"/>
      <c r="M19" s="26" t="s">
        <v>179</v>
      </c>
      <c r="N19" s="7">
        <v>0</v>
      </c>
      <c r="O19" s="26" t="s">
        <v>201</v>
      </c>
      <c r="P19" s="33"/>
      <c r="Q19" s="33"/>
      <c r="R19" s="33"/>
      <c r="S19" s="33"/>
    </row>
    <row r="20" spans="1:19" ht="232" customHeight="1" x14ac:dyDescent="0.35">
      <c r="A20" s="17" t="s">
        <v>10</v>
      </c>
      <c r="B20" s="6" t="s">
        <v>59</v>
      </c>
      <c r="C20" s="6" t="s">
        <v>117</v>
      </c>
      <c r="D20" s="8" t="s">
        <v>149</v>
      </c>
      <c r="E20" s="8" t="s">
        <v>150</v>
      </c>
      <c r="F20" s="5">
        <v>6</v>
      </c>
      <c r="G20" s="14" t="s">
        <v>19</v>
      </c>
      <c r="H20" s="6" t="s">
        <v>22</v>
      </c>
      <c r="I20" s="26" t="s">
        <v>188</v>
      </c>
      <c r="J20" s="14" t="s">
        <v>38</v>
      </c>
      <c r="K20" s="121">
        <f>2263/1590171</f>
        <v>1.4231173880041833E-3</v>
      </c>
      <c r="L20" s="121"/>
      <c r="M20" s="26" t="s">
        <v>189</v>
      </c>
      <c r="N20" s="77">
        <f>32553/1590171</f>
        <v>2.0471383266327962E-2</v>
      </c>
      <c r="O20" s="26" t="s">
        <v>245</v>
      </c>
      <c r="P20" s="33"/>
      <c r="Q20" s="33"/>
      <c r="R20" s="33"/>
      <c r="S20" s="33"/>
    </row>
    <row r="21" spans="1:19" ht="78.5" customHeight="1" x14ac:dyDescent="0.35">
      <c r="A21" s="31" t="s">
        <v>11</v>
      </c>
      <c r="B21" s="74" t="s">
        <v>151</v>
      </c>
      <c r="C21" s="74" t="s">
        <v>118</v>
      </c>
      <c r="D21" s="75" t="s">
        <v>152</v>
      </c>
      <c r="E21" s="75" t="s">
        <v>25</v>
      </c>
      <c r="F21" s="76">
        <v>80</v>
      </c>
      <c r="G21" s="74" t="s">
        <v>19</v>
      </c>
      <c r="H21" s="74" t="s">
        <v>22</v>
      </c>
      <c r="I21" s="44" t="s">
        <v>224</v>
      </c>
      <c r="J21" s="74" t="s">
        <v>26</v>
      </c>
      <c r="K21" s="118"/>
      <c r="L21" s="118"/>
      <c r="M21" s="49" t="s">
        <v>232</v>
      </c>
      <c r="N21" s="49">
        <f>(64-48.8)/48.8</f>
        <v>0.31147540983606564</v>
      </c>
      <c r="O21" s="88" t="s">
        <v>230</v>
      </c>
      <c r="P21" s="34"/>
      <c r="Q21" s="34"/>
      <c r="R21" s="34"/>
      <c r="S21" s="34"/>
    </row>
    <row r="22" spans="1:19" ht="98.5" customHeight="1" x14ac:dyDescent="0.35">
      <c r="A22" s="31" t="s">
        <v>11</v>
      </c>
      <c r="B22" s="74" t="s">
        <v>153</v>
      </c>
      <c r="C22" s="74" t="s">
        <v>119</v>
      </c>
      <c r="D22" s="75" t="s">
        <v>154</v>
      </c>
      <c r="E22" s="75" t="s">
        <v>79</v>
      </c>
      <c r="F22" s="76">
        <v>80</v>
      </c>
      <c r="G22" s="74" t="s">
        <v>19</v>
      </c>
      <c r="H22" s="74" t="s">
        <v>22</v>
      </c>
      <c r="I22" s="44" t="s">
        <v>224</v>
      </c>
      <c r="J22" s="74" t="s">
        <v>26</v>
      </c>
      <c r="K22" s="119"/>
      <c r="L22" s="119"/>
      <c r="M22" s="49" t="s">
        <v>232</v>
      </c>
      <c r="N22" s="83"/>
      <c r="O22" s="88" t="s">
        <v>232</v>
      </c>
      <c r="P22" s="34"/>
      <c r="Q22" s="34"/>
      <c r="R22" s="34"/>
      <c r="S22" s="34"/>
    </row>
    <row r="23" spans="1:19" ht="104.5" customHeight="1" x14ac:dyDescent="0.35">
      <c r="A23" s="17" t="s">
        <v>11</v>
      </c>
      <c r="B23" s="6" t="s">
        <v>80</v>
      </c>
      <c r="C23" s="6" t="s">
        <v>120</v>
      </c>
      <c r="D23" s="8" t="s">
        <v>81</v>
      </c>
      <c r="E23" s="8" t="s">
        <v>82</v>
      </c>
      <c r="F23" s="14">
        <v>90</v>
      </c>
      <c r="G23" s="6" t="s">
        <v>19</v>
      </c>
      <c r="H23" s="6" t="s">
        <v>22</v>
      </c>
      <c r="I23" s="42" t="s">
        <v>233</v>
      </c>
      <c r="J23" s="38" t="s">
        <v>38</v>
      </c>
      <c r="K23" s="122">
        <f>2/2</f>
        <v>1</v>
      </c>
      <c r="L23" s="122"/>
      <c r="M23" s="26" t="s">
        <v>202</v>
      </c>
      <c r="N23" s="32"/>
      <c r="O23" s="26" t="s">
        <v>258</v>
      </c>
      <c r="P23" s="33"/>
      <c r="Q23" s="33"/>
      <c r="R23" s="33"/>
      <c r="S23" s="33"/>
    </row>
    <row r="24" spans="1:19" ht="68" customHeight="1" x14ac:dyDescent="0.35">
      <c r="A24" s="17" t="s">
        <v>11</v>
      </c>
      <c r="B24" s="6" t="s">
        <v>60</v>
      </c>
      <c r="C24" s="6" t="s">
        <v>121</v>
      </c>
      <c r="D24" s="26" t="s">
        <v>155</v>
      </c>
      <c r="E24" s="8" t="s">
        <v>156</v>
      </c>
      <c r="F24" s="13">
        <v>0.1</v>
      </c>
      <c r="G24" s="14" t="s">
        <v>19</v>
      </c>
      <c r="H24" s="14" t="s">
        <v>22</v>
      </c>
      <c r="I24" s="26" t="s">
        <v>234</v>
      </c>
      <c r="J24" s="38" t="s">
        <v>20</v>
      </c>
      <c r="K24" s="122"/>
      <c r="L24" s="122"/>
      <c r="M24" s="26" t="s">
        <v>232</v>
      </c>
      <c r="N24" s="9"/>
      <c r="O24" s="26" t="s">
        <v>259</v>
      </c>
      <c r="P24" s="33"/>
      <c r="Q24" s="33"/>
      <c r="R24" s="33"/>
      <c r="S24" s="33"/>
    </row>
    <row r="25" spans="1:19" ht="130.5" customHeight="1" x14ac:dyDescent="0.35">
      <c r="A25" s="17" t="s">
        <v>12</v>
      </c>
      <c r="B25" s="12" t="s">
        <v>30</v>
      </c>
      <c r="C25" s="12" t="s">
        <v>122</v>
      </c>
      <c r="D25" s="18" t="s">
        <v>31</v>
      </c>
      <c r="E25" s="18" t="s">
        <v>32</v>
      </c>
      <c r="F25" s="5">
        <v>85</v>
      </c>
      <c r="G25" s="5" t="s">
        <v>19</v>
      </c>
      <c r="H25" s="5" t="s">
        <v>22</v>
      </c>
      <c r="I25" s="81" t="s">
        <v>235</v>
      </c>
      <c r="J25" s="5" t="s">
        <v>38</v>
      </c>
      <c r="K25" s="118">
        <f>5/14</f>
        <v>0.35714285714285715</v>
      </c>
      <c r="L25" s="118"/>
      <c r="M25" s="52" t="s">
        <v>261</v>
      </c>
      <c r="N25" s="88" t="s">
        <v>232</v>
      </c>
      <c r="O25" s="153" t="s">
        <v>262</v>
      </c>
      <c r="P25" s="33"/>
      <c r="Q25" s="33"/>
      <c r="R25" s="33"/>
      <c r="S25" s="33"/>
    </row>
    <row r="26" spans="1:19" ht="175.5" customHeight="1" x14ac:dyDescent="0.35">
      <c r="A26" s="31" t="s">
        <v>12</v>
      </c>
      <c r="B26" s="12" t="s">
        <v>157</v>
      </c>
      <c r="C26" s="12" t="s">
        <v>123</v>
      </c>
      <c r="D26" s="18" t="s">
        <v>158</v>
      </c>
      <c r="E26" s="18" t="s">
        <v>33</v>
      </c>
      <c r="F26" s="5">
        <v>85</v>
      </c>
      <c r="G26" s="5" t="s">
        <v>19</v>
      </c>
      <c r="H26" s="5" t="s">
        <v>22</v>
      </c>
      <c r="I26" s="81" t="s">
        <v>236</v>
      </c>
      <c r="J26" s="5" t="s">
        <v>38</v>
      </c>
      <c r="K26" s="119">
        <f>12/20</f>
        <v>0.6</v>
      </c>
      <c r="L26" s="119"/>
      <c r="M26" s="52" t="s">
        <v>263</v>
      </c>
      <c r="N26" s="19" t="s">
        <v>232</v>
      </c>
      <c r="O26" s="153" t="s">
        <v>262</v>
      </c>
      <c r="P26" s="33"/>
      <c r="Q26" s="33"/>
      <c r="R26" s="33"/>
      <c r="S26" s="33"/>
    </row>
    <row r="27" spans="1:19" ht="99.5" customHeight="1" x14ac:dyDescent="0.35">
      <c r="A27" s="31" t="s">
        <v>12</v>
      </c>
      <c r="B27" s="80" t="s">
        <v>34</v>
      </c>
      <c r="C27" s="80" t="s">
        <v>124</v>
      </c>
      <c r="D27" s="81" t="s">
        <v>35</v>
      </c>
      <c r="E27" s="81" t="s">
        <v>36</v>
      </c>
      <c r="F27" s="82">
        <v>85</v>
      </c>
      <c r="G27" s="82" t="s">
        <v>19</v>
      </c>
      <c r="H27" s="82" t="s">
        <v>22</v>
      </c>
      <c r="I27" s="81" t="s">
        <v>237</v>
      </c>
      <c r="J27" s="82" t="s">
        <v>38</v>
      </c>
      <c r="K27" s="118">
        <f>23/74</f>
        <v>0.3108108108108108</v>
      </c>
      <c r="L27" s="118"/>
      <c r="M27" s="20" t="s">
        <v>231</v>
      </c>
      <c r="N27" s="24">
        <f>34/74</f>
        <v>0.45945945945945948</v>
      </c>
      <c r="O27" s="20" t="s">
        <v>260</v>
      </c>
      <c r="P27" s="33"/>
      <c r="Q27" s="33"/>
      <c r="R27" s="33"/>
      <c r="S27" s="33"/>
    </row>
    <row r="28" spans="1:19" ht="87" x14ac:dyDescent="0.35">
      <c r="A28" s="31" t="s">
        <v>13</v>
      </c>
      <c r="B28" s="62" t="s">
        <v>159</v>
      </c>
      <c r="C28" s="48" t="s">
        <v>125</v>
      </c>
      <c r="D28" s="63" t="s">
        <v>37</v>
      </c>
      <c r="E28" s="63" t="s">
        <v>90</v>
      </c>
      <c r="F28" s="5">
        <v>100</v>
      </c>
      <c r="G28" s="5" t="s">
        <v>19</v>
      </c>
      <c r="H28" s="62" t="s">
        <v>22</v>
      </c>
      <c r="I28" s="81" t="s">
        <v>172</v>
      </c>
      <c r="J28" s="62" t="s">
        <v>216</v>
      </c>
      <c r="K28" s="119"/>
      <c r="L28" s="119"/>
      <c r="M28" s="63" t="s">
        <v>232</v>
      </c>
      <c r="N28" s="66">
        <f>1/2</f>
        <v>0.5</v>
      </c>
      <c r="O28" s="63" t="s">
        <v>256</v>
      </c>
      <c r="P28" s="34"/>
      <c r="Q28" s="34"/>
      <c r="R28" s="34"/>
      <c r="S28" s="34"/>
    </row>
    <row r="29" spans="1:19" ht="67" customHeight="1" x14ac:dyDescent="0.35">
      <c r="A29" s="31" t="s">
        <v>13</v>
      </c>
      <c r="B29" s="62" t="s">
        <v>91</v>
      </c>
      <c r="C29" s="48" t="s">
        <v>126</v>
      </c>
      <c r="D29" s="63" t="s">
        <v>255</v>
      </c>
      <c r="E29" s="63" t="s">
        <v>170</v>
      </c>
      <c r="F29" s="5">
        <v>85</v>
      </c>
      <c r="G29" s="62" t="s">
        <v>19</v>
      </c>
      <c r="H29" s="62" t="s">
        <v>22</v>
      </c>
      <c r="I29" s="85" t="s">
        <v>172</v>
      </c>
      <c r="J29" s="62" t="s">
        <v>216</v>
      </c>
      <c r="K29" s="119"/>
      <c r="L29" s="126"/>
      <c r="M29" s="63"/>
      <c r="N29" s="152">
        <f>16651541/38615026</f>
        <v>0.43121920984851858</v>
      </c>
      <c r="O29" s="88" t="s">
        <v>257</v>
      </c>
      <c r="P29" s="34"/>
      <c r="Q29" s="34"/>
      <c r="R29" s="34"/>
      <c r="S29" s="34"/>
    </row>
    <row r="30" spans="1:19" ht="81.5" customHeight="1" x14ac:dyDescent="0.35">
      <c r="A30" s="17" t="s">
        <v>14</v>
      </c>
      <c r="B30" s="6" t="s">
        <v>160</v>
      </c>
      <c r="C30" s="6" t="s">
        <v>127</v>
      </c>
      <c r="D30" s="8" t="s">
        <v>96</v>
      </c>
      <c r="E30" s="18" t="s">
        <v>97</v>
      </c>
      <c r="F30" s="14">
        <v>60</v>
      </c>
      <c r="G30" s="6" t="s">
        <v>19</v>
      </c>
      <c r="H30" s="6" t="s">
        <v>22</v>
      </c>
      <c r="I30" s="46" t="s">
        <v>238</v>
      </c>
      <c r="J30" s="6" t="s">
        <v>38</v>
      </c>
      <c r="K30" s="105">
        <f>87/119</f>
        <v>0.73109243697478987</v>
      </c>
      <c r="L30" s="105"/>
      <c r="M30" s="26" t="s">
        <v>239</v>
      </c>
      <c r="N30" s="15">
        <f>90/119</f>
        <v>0.75630252100840334</v>
      </c>
      <c r="O30" s="26" t="s">
        <v>247</v>
      </c>
      <c r="P30" s="33"/>
      <c r="Q30" s="33"/>
      <c r="R30" s="33"/>
      <c r="S30" s="33"/>
    </row>
    <row r="31" spans="1:19" ht="100" customHeight="1" x14ac:dyDescent="0.35">
      <c r="A31" s="17" t="s">
        <v>14</v>
      </c>
      <c r="B31" s="6" t="s">
        <v>39</v>
      </c>
      <c r="C31" s="6" t="s">
        <v>128</v>
      </c>
      <c r="D31" s="8" t="s">
        <v>40</v>
      </c>
      <c r="E31" s="18" t="s">
        <v>41</v>
      </c>
      <c r="F31" s="14">
        <v>60</v>
      </c>
      <c r="G31" s="6" t="s">
        <v>19</v>
      </c>
      <c r="H31" s="6" t="s">
        <v>22</v>
      </c>
      <c r="I31" s="46" t="s">
        <v>270</v>
      </c>
      <c r="J31" s="6" t="s">
        <v>38</v>
      </c>
      <c r="K31" s="104">
        <f>9/14</f>
        <v>0.6428571428571429</v>
      </c>
      <c r="L31" s="104"/>
      <c r="M31" s="26" t="s">
        <v>248</v>
      </c>
      <c r="N31" s="10">
        <f>11/14</f>
        <v>0.7857142857142857</v>
      </c>
      <c r="O31" s="26" t="s">
        <v>249</v>
      </c>
      <c r="P31" s="33"/>
      <c r="Q31" s="33"/>
      <c r="R31" s="33"/>
      <c r="S31" s="33"/>
    </row>
    <row r="32" spans="1:19" ht="72.5" customHeight="1" x14ac:dyDescent="0.35">
      <c r="A32" s="17" t="s">
        <v>14</v>
      </c>
      <c r="B32" s="6" t="s">
        <v>98</v>
      </c>
      <c r="C32" s="6" t="s">
        <v>129</v>
      </c>
      <c r="D32" s="8" t="s">
        <v>99</v>
      </c>
      <c r="E32" s="18" t="s">
        <v>100</v>
      </c>
      <c r="F32" s="14">
        <v>50</v>
      </c>
      <c r="G32" s="6" t="s">
        <v>19</v>
      </c>
      <c r="H32" s="6" t="s">
        <v>22</v>
      </c>
      <c r="I32" s="46" t="s">
        <v>238</v>
      </c>
      <c r="J32" s="6" t="s">
        <v>20</v>
      </c>
      <c r="K32" s="105"/>
      <c r="L32" s="105"/>
      <c r="M32" s="26" t="s">
        <v>232</v>
      </c>
      <c r="N32" s="21">
        <v>0</v>
      </c>
      <c r="O32" s="26" t="s">
        <v>250</v>
      </c>
      <c r="P32" s="33"/>
      <c r="Q32" s="33"/>
      <c r="R32" s="33"/>
      <c r="S32" s="33"/>
    </row>
    <row r="33" spans="1:19" s="2" customFormat="1" ht="96" customHeight="1" x14ac:dyDescent="0.35">
      <c r="A33" s="31" t="s">
        <v>14</v>
      </c>
      <c r="B33" s="27" t="s">
        <v>42</v>
      </c>
      <c r="C33" s="27" t="s">
        <v>130</v>
      </c>
      <c r="D33" s="28" t="s">
        <v>161</v>
      </c>
      <c r="E33" s="28" t="s">
        <v>162</v>
      </c>
      <c r="F33" s="5">
        <v>90</v>
      </c>
      <c r="G33" s="27" t="s">
        <v>19</v>
      </c>
      <c r="H33" s="27" t="s">
        <v>22</v>
      </c>
      <c r="I33" s="46" t="s">
        <v>172</v>
      </c>
      <c r="J33" s="5" t="s">
        <v>252</v>
      </c>
      <c r="K33" s="105"/>
      <c r="L33" s="105"/>
      <c r="M33" s="50" t="s">
        <v>232</v>
      </c>
      <c r="N33" s="68">
        <f>8/29</f>
        <v>0.27586206896551724</v>
      </c>
      <c r="O33" s="27" t="s">
        <v>253</v>
      </c>
      <c r="P33" s="34"/>
      <c r="Q33" s="34"/>
      <c r="R33" s="34"/>
      <c r="S33" s="34"/>
    </row>
    <row r="34" spans="1:19" ht="89.15" customHeight="1" x14ac:dyDescent="0.35">
      <c r="A34" s="17" t="s">
        <v>14</v>
      </c>
      <c r="B34" s="6" t="s">
        <v>163</v>
      </c>
      <c r="C34" s="6" t="s">
        <v>131</v>
      </c>
      <c r="D34" s="8" t="s">
        <v>164</v>
      </c>
      <c r="E34" s="18" t="s">
        <v>101</v>
      </c>
      <c r="F34" s="14">
        <v>80</v>
      </c>
      <c r="G34" s="6" t="s">
        <v>19</v>
      </c>
      <c r="H34" s="6" t="s">
        <v>22</v>
      </c>
      <c r="I34" s="46" t="s">
        <v>238</v>
      </c>
      <c r="J34" s="25" t="s">
        <v>20</v>
      </c>
      <c r="K34" s="105"/>
      <c r="L34" s="105"/>
      <c r="M34" s="26" t="s">
        <v>232</v>
      </c>
      <c r="N34" s="9"/>
      <c r="O34" s="26" t="s">
        <v>254</v>
      </c>
      <c r="P34" s="33"/>
      <c r="Q34" s="33"/>
      <c r="R34" s="33"/>
      <c r="S34" s="33"/>
    </row>
    <row r="35" spans="1:19" ht="66.650000000000006" customHeight="1" x14ac:dyDescent="0.35">
      <c r="A35" s="17" t="s">
        <v>15</v>
      </c>
      <c r="B35" s="6" t="s">
        <v>44</v>
      </c>
      <c r="C35" s="6" t="s">
        <v>132</v>
      </c>
      <c r="D35" s="8" t="s">
        <v>45</v>
      </c>
      <c r="E35" s="8" t="s">
        <v>266</v>
      </c>
      <c r="F35" s="14">
        <v>25</v>
      </c>
      <c r="G35" s="6" t="s">
        <v>19</v>
      </c>
      <c r="H35" s="6" t="s">
        <v>46</v>
      </c>
      <c r="I35" s="26" t="s">
        <v>172</v>
      </c>
      <c r="J35" s="6" t="s">
        <v>38</v>
      </c>
      <c r="K35" s="125">
        <f>6549564767/13207343647</f>
        <v>0.49590325973593563</v>
      </c>
      <c r="L35" s="125"/>
      <c r="M35" s="26" t="s">
        <v>264</v>
      </c>
      <c r="N35" s="49">
        <f>7685761915/13207343647</f>
        <v>0.58193094087816766</v>
      </c>
      <c r="O35" s="88" t="s">
        <v>265</v>
      </c>
      <c r="P35" s="33"/>
      <c r="Q35" s="33"/>
      <c r="R35" s="33"/>
      <c r="S35" s="33"/>
    </row>
    <row r="36" spans="1:19" ht="77" customHeight="1" x14ac:dyDescent="0.35">
      <c r="A36" s="17" t="s">
        <v>15</v>
      </c>
      <c r="B36" s="6" t="s">
        <v>103</v>
      </c>
      <c r="C36" s="6" t="s">
        <v>133</v>
      </c>
      <c r="D36" s="8" t="s">
        <v>102</v>
      </c>
      <c r="E36" s="8" t="s">
        <v>267</v>
      </c>
      <c r="F36" s="14">
        <v>25</v>
      </c>
      <c r="G36" s="6" t="s">
        <v>19</v>
      </c>
      <c r="H36" s="6" t="s">
        <v>46</v>
      </c>
      <c r="I36" s="26" t="s">
        <v>172</v>
      </c>
      <c r="J36" s="29" t="s">
        <v>38</v>
      </c>
      <c r="K36" s="125">
        <f>3000328910/13297343647</f>
        <v>0.22563370471943103</v>
      </c>
      <c r="L36" s="125"/>
      <c r="M36" s="26" t="s">
        <v>268</v>
      </c>
      <c r="N36" s="49">
        <f>4977235234/13501547446</f>
        <v>0.36864183560489339</v>
      </c>
      <c r="O36" s="88" t="s">
        <v>269</v>
      </c>
      <c r="P36" s="33"/>
      <c r="Q36" s="33"/>
      <c r="R36" s="33"/>
      <c r="S36" s="33"/>
    </row>
    <row r="37" spans="1:19" s="2" customFormat="1" ht="71.5" customHeight="1" x14ac:dyDescent="0.35">
      <c r="A37" s="31" t="s">
        <v>16</v>
      </c>
      <c r="B37" s="27" t="s">
        <v>47</v>
      </c>
      <c r="C37" s="27" t="s">
        <v>134</v>
      </c>
      <c r="D37" s="28" t="s">
        <v>94</v>
      </c>
      <c r="E37" s="28" t="s">
        <v>48</v>
      </c>
      <c r="F37" s="5">
        <v>80</v>
      </c>
      <c r="G37" s="27" t="s">
        <v>19</v>
      </c>
      <c r="H37" s="27" t="s">
        <v>22</v>
      </c>
      <c r="I37" s="71" t="s">
        <v>209</v>
      </c>
      <c r="J37" s="5" t="s">
        <v>38</v>
      </c>
      <c r="K37" s="119">
        <f>2658232683/3266861280</f>
        <v>0.81369622250994389</v>
      </c>
      <c r="L37" s="119"/>
      <c r="M37" s="49" t="s">
        <v>226</v>
      </c>
      <c r="N37" s="77">
        <f>4500978031/4900291920</f>
        <v>0.91851222426765133</v>
      </c>
      <c r="O37" s="73" t="s">
        <v>228</v>
      </c>
      <c r="P37" s="34"/>
      <c r="Q37" s="34"/>
      <c r="R37" s="34"/>
      <c r="S37" s="34"/>
    </row>
    <row r="38" spans="1:19" s="2" customFormat="1" ht="74.5" customHeight="1" x14ac:dyDescent="0.35">
      <c r="A38" s="31" t="s">
        <v>16</v>
      </c>
      <c r="B38" s="27" t="s">
        <v>49</v>
      </c>
      <c r="C38" s="27" t="s">
        <v>135</v>
      </c>
      <c r="D38" s="28" t="s">
        <v>50</v>
      </c>
      <c r="E38" s="28" t="s">
        <v>165</v>
      </c>
      <c r="F38" s="5">
        <v>100</v>
      </c>
      <c r="G38" s="27" t="s">
        <v>19</v>
      </c>
      <c r="H38" s="27" t="s">
        <v>22</v>
      </c>
      <c r="I38" s="50" t="s">
        <v>209</v>
      </c>
      <c r="J38" s="5" t="s">
        <v>38</v>
      </c>
      <c r="K38" s="118">
        <f>(28077021-32958540)/32958540</f>
        <v>-0.14811089932988536</v>
      </c>
      <c r="L38" s="118"/>
      <c r="M38" s="50" t="s">
        <v>210</v>
      </c>
      <c r="N38" s="78">
        <f>(48381483-39335429)/39335429</f>
        <v>0.22997217088950522</v>
      </c>
      <c r="O38" s="49" t="s">
        <v>229</v>
      </c>
      <c r="P38" s="34"/>
      <c r="Q38" s="34"/>
      <c r="R38" s="34"/>
      <c r="S38" s="34"/>
    </row>
    <row r="39" spans="1:19" s="2" customFormat="1" ht="65.5" customHeight="1" x14ac:dyDescent="0.35">
      <c r="A39" s="17" t="s">
        <v>17</v>
      </c>
      <c r="B39" s="12" t="s">
        <v>166</v>
      </c>
      <c r="C39" s="12" t="s">
        <v>136</v>
      </c>
      <c r="D39" s="18" t="s">
        <v>93</v>
      </c>
      <c r="E39" s="18" t="s">
        <v>92</v>
      </c>
      <c r="F39" s="5">
        <v>90</v>
      </c>
      <c r="G39" s="12" t="s">
        <v>19</v>
      </c>
      <c r="H39" s="12" t="s">
        <v>22</v>
      </c>
      <c r="I39" s="44" t="s">
        <v>173</v>
      </c>
      <c r="J39" s="12" t="s">
        <v>38</v>
      </c>
      <c r="K39" s="125">
        <f>250/300</f>
        <v>0.83333333333333337</v>
      </c>
      <c r="L39" s="125"/>
      <c r="M39" s="50" t="s">
        <v>219</v>
      </c>
      <c r="N39" s="22">
        <f>343/360</f>
        <v>0.95277777777777772</v>
      </c>
      <c r="O39" s="28" t="s">
        <v>220</v>
      </c>
      <c r="P39" s="34"/>
      <c r="Q39" s="34"/>
      <c r="R39" s="34"/>
      <c r="S39" s="34"/>
    </row>
    <row r="40" spans="1:19" ht="116" customHeight="1" x14ac:dyDescent="0.35">
      <c r="A40" s="17" t="s">
        <v>17</v>
      </c>
      <c r="B40" s="123" t="s">
        <v>51</v>
      </c>
      <c r="C40" s="123" t="s">
        <v>137</v>
      </c>
      <c r="D40" s="124" t="s">
        <v>53</v>
      </c>
      <c r="E40" s="8" t="s">
        <v>52</v>
      </c>
      <c r="F40" s="5">
        <v>90</v>
      </c>
      <c r="G40" s="12" t="s">
        <v>19</v>
      </c>
      <c r="H40" s="12" t="s">
        <v>22</v>
      </c>
      <c r="I40" s="26" t="s">
        <v>174</v>
      </c>
      <c r="J40" s="6" t="s">
        <v>38</v>
      </c>
      <c r="K40" s="125">
        <f>31/31</f>
        <v>1</v>
      </c>
      <c r="L40" s="125"/>
      <c r="M40" s="26" t="s">
        <v>208</v>
      </c>
      <c r="N40" s="15">
        <v>1</v>
      </c>
      <c r="O40" s="26" t="s">
        <v>208</v>
      </c>
      <c r="P40" s="33"/>
      <c r="Q40" s="33"/>
      <c r="R40" s="33"/>
      <c r="S40" s="33"/>
    </row>
    <row r="41" spans="1:19" ht="65.5" customHeight="1" x14ac:dyDescent="0.35">
      <c r="A41" s="17" t="s">
        <v>18</v>
      </c>
      <c r="B41" s="6" t="s">
        <v>54</v>
      </c>
      <c r="C41" s="6" t="s">
        <v>138</v>
      </c>
      <c r="D41" s="8" t="s">
        <v>55</v>
      </c>
      <c r="E41" s="8" t="s">
        <v>167</v>
      </c>
      <c r="F41" s="14">
        <v>80</v>
      </c>
      <c r="G41" s="6" t="s">
        <v>19</v>
      </c>
      <c r="H41" s="6" t="s">
        <v>22</v>
      </c>
      <c r="I41" s="26" t="s">
        <v>211</v>
      </c>
      <c r="J41" s="6" t="s">
        <v>20</v>
      </c>
      <c r="K41" s="122"/>
      <c r="L41" s="122"/>
      <c r="M41" s="26" t="s">
        <v>232</v>
      </c>
      <c r="N41" s="9">
        <f>3/6</f>
        <v>0.5</v>
      </c>
      <c r="O41" s="26" t="s">
        <v>205</v>
      </c>
      <c r="P41" s="33"/>
      <c r="Q41" s="33"/>
      <c r="R41" s="33"/>
      <c r="S41" s="33"/>
    </row>
    <row r="42" spans="1:19" ht="63.5" customHeight="1" x14ac:dyDescent="0.35">
      <c r="A42" s="17" t="s">
        <v>18</v>
      </c>
      <c r="B42" s="6" t="s">
        <v>56</v>
      </c>
      <c r="C42" s="6" t="s">
        <v>139</v>
      </c>
      <c r="D42" s="8" t="s">
        <v>57</v>
      </c>
      <c r="E42" s="8" t="s">
        <v>58</v>
      </c>
      <c r="F42" s="14">
        <v>80</v>
      </c>
      <c r="G42" s="6" t="s">
        <v>19</v>
      </c>
      <c r="H42" s="6" t="s">
        <v>22</v>
      </c>
      <c r="I42" s="26" t="s">
        <v>213</v>
      </c>
      <c r="J42" s="6" t="s">
        <v>20</v>
      </c>
      <c r="K42" s="122"/>
      <c r="L42" s="122"/>
      <c r="M42" s="26" t="s">
        <v>232</v>
      </c>
      <c r="N42" s="9">
        <f>1/2</f>
        <v>0.5</v>
      </c>
      <c r="O42" s="26" t="s">
        <v>206</v>
      </c>
      <c r="P42" s="33"/>
      <c r="Q42" s="33"/>
      <c r="R42" s="33"/>
      <c r="S42" s="33"/>
    </row>
    <row r="43" spans="1:19" ht="48.5" customHeight="1" x14ac:dyDescent="0.35">
      <c r="A43" s="17" t="s">
        <v>18</v>
      </c>
      <c r="B43" s="6" t="s">
        <v>89</v>
      </c>
      <c r="C43" s="6" t="s">
        <v>140</v>
      </c>
      <c r="D43" s="8" t="s">
        <v>168</v>
      </c>
      <c r="E43" s="8" t="s">
        <v>169</v>
      </c>
      <c r="F43" s="14">
        <v>80</v>
      </c>
      <c r="G43" s="6" t="s">
        <v>19</v>
      </c>
      <c r="H43" s="6" t="s">
        <v>22</v>
      </c>
      <c r="I43" s="26" t="s">
        <v>212</v>
      </c>
      <c r="J43" s="6" t="s">
        <v>20</v>
      </c>
      <c r="K43" s="122"/>
      <c r="L43" s="122"/>
      <c r="M43" s="26" t="s">
        <v>232</v>
      </c>
      <c r="N43" s="9">
        <f>11/14</f>
        <v>0.7857142857142857</v>
      </c>
      <c r="O43" s="26" t="s">
        <v>207</v>
      </c>
      <c r="P43" s="33"/>
      <c r="Q43" s="33"/>
      <c r="R43" s="33"/>
      <c r="S43" s="33"/>
    </row>
    <row r="44" spans="1:19" x14ac:dyDescent="0.35">
      <c r="N44" s="79"/>
    </row>
    <row r="45" spans="1:19" x14ac:dyDescent="0.35">
      <c r="N45" s="150"/>
    </row>
    <row r="46" spans="1:19" x14ac:dyDescent="0.35">
      <c r="N46" s="150"/>
    </row>
    <row r="47" spans="1:19" x14ac:dyDescent="0.35">
      <c r="N47" s="150"/>
    </row>
  </sheetData>
  <autoFilter ref="A5:S43" xr:uid="{00000000-0001-0000-0000-000000000000}">
    <filterColumn colId="10" showButton="0"/>
  </autoFilter>
  <mergeCells count="81">
    <mergeCell ref="Q7:Q8"/>
    <mergeCell ref="J5:J6"/>
    <mergeCell ref="K7:L8"/>
    <mergeCell ref="A7:A8"/>
    <mergeCell ref="B7:B8"/>
    <mergeCell ref="D7:D8"/>
    <mergeCell ref="E7:E8"/>
    <mergeCell ref="F7:F8"/>
    <mergeCell ref="G7:G8"/>
    <mergeCell ref="H7:H8"/>
    <mergeCell ref="I7:I8"/>
    <mergeCell ref="J7:J8"/>
    <mergeCell ref="A1:B2"/>
    <mergeCell ref="A3:B3"/>
    <mergeCell ref="F3:H3"/>
    <mergeCell ref="C3:E3"/>
    <mergeCell ref="A5:A6"/>
    <mergeCell ref="B5:B6"/>
    <mergeCell ref="D5:D6"/>
    <mergeCell ref="E5:E6"/>
    <mergeCell ref="F5:F6"/>
    <mergeCell ref="C5:C6"/>
    <mergeCell ref="C1:J1"/>
    <mergeCell ref="C2:J2"/>
    <mergeCell ref="J3:M3"/>
    <mergeCell ref="G5:G6"/>
    <mergeCell ref="H5:H6"/>
    <mergeCell ref="I5:I6"/>
    <mergeCell ref="K43:L43"/>
    <mergeCell ref="K38:L38"/>
    <mergeCell ref="K39:L39"/>
    <mergeCell ref="K40:L40"/>
    <mergeCell ref="K41:L41"/>
    <mergeCell ref="K42:L42"/>
    <mergeCell ref="B40"/>
    <mergeCell ref="C40"/>
    <mergeCell ref="D40"/>
    <mergeCell ref="K24:L24"/>
    <mergeCell ref="K25:L25"/>
    <mergeCell ref="K26:L26"/>
    <mergeCell ref="K27:L27"/>
    <mergeCell ref="K28:L28"/>
    <mergeCell ref="K34:L34"/>
    <mergeCell ref="K33:L33"/>
    <mergeCell ref="K35:L35"/>
    <mergeCell ref="K36:L36"/>
    <mergeCell ref="K30:L30"/>
    <mergeCell ref="K37:L37"/>
    <mergeCell ref="K29:L29"/>
    <mergeCell ref="K32:L32"/>
    <mergeCell ref="K21:L21"/>
    <mergeCell ref="K22:L22"/>
    <mergeCell ref="K19:L19"/>
    <mergeCell ref="K20:L20"/>
    <mergeCell ref="K23:L23"/>
    <mergeCell ref="S5:S6"/>
    <mergeCell ref="K31:L31"/>
    <mergeCell ref="K9:L9"/>
    <mergeCell ref="K10:L10"/>
    <mergeCell ref="K15:L15"/>
    <mergeCell ref="O5:O6"/>
    <mergeCell ref="R7:R8"/>
    <mergeCell ref="N5:N6"/>
    <mergeCell ref="P5:P6"/>
    <mergeCell ref="R5:R6"/>
    <mergeCell ref="Q5:Q6"/>
    <mergeCell ref="S7:S8"/>
    <mergeCell ref="M7:M8"/>
    <mergeCell ref="N7:N8"/>
    <mergeCell ref="O7:O8"/>
    <mergeCell ref="P7:P8"/>
    <mergeCell ref="K1:M2"/>
    <mergeCell ref="K18:L18"/>
    <mergeCell ref="K17:L17"/>
    <mergeCell ref="K16:L16"/>
    <mergeCell ref="K11:L11"/>
    <mergeCell ref="K12:L12"/>
    <mergeCell ref="K13:L13"/>
    <mergeCell ref="K14:L14"/>
    <mergeCell ref="M5:M6"/>
    <mergeCell ref="K5:L6"/>
  </mergeCells>
  <phoneticPr fontId="6" type="noConversion"/>
  <dataValidations disablePrompts="1" count="1">
    <dataValidation type="list" allowBlank="1" showInputMessage="1" showErrorMessage="1" sqref="A7 A9:A43" xr:uid="{00000000-0002-0000-0000-000000000000}">
      <formula1>#REF!</formula1>
    </dataValidation>
  </dataValidations>
  <printOptions horizontalCentered="1"/>
  <pageMargins left="0.70866141732283472" right="0.70866141732283472" top="0.74803149606299213" bottom="0.74803149606299213" header="0.31496062992125984" footer="0.31496062992125984"/>
  <pageSetup scale="47" fitToWidth="0" fitToHeight="0" orientation="landscape" r:id="rId1"/>
  <colBreaks count="1" manualBreakCount="1">
    <brk id="15" max="4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M22"/>
  <sheetViews>
    <sheetView topLeftCell="B1" workbookViewId="0">
      <selection activeCell="L16" sqref="L16"/>
    </sheetView>
  </sheetViews>
  <sheetFormatPr baseColWidth="10" defaultRowHeight="14.5" x14ac:dyDescent="0.35"/>
  <cols>
    <col min="8" max="8" width="13.1796875" bestFit="1" customWidth="1"/>
    <col min="9" max="9" width="15.1796875" bestFit="1" customWidth="1"/>
    <col min="12" max="12" width="15.81640625" bestFit="1" customWidth="1"/>
  </cols>
  <sheetData>
    <row r="5" spans="4:13" x14ac:dyDescent="0.35">
      <c r="H5" s="33" t="s">
        <v>182</v>
      </c>
      <c r="I5" s="33" t="s">
        <v>183</v>
      </c>
      <c r="J5" s="33"/>
      <c r="K5" s="33"/>
      <c r="L5" s="33" t="s">
        <v>184</v>
      </c>
    </row>
    <row r="6" spans="4:13" x14ac:dyDescent="0.35">
      <c r="H6" s="41">
        <v>7924</v>
      </c>
      <c r="I6" s="39">
        <v>1</v>
      </c>
      <c r="J6" s="39">
        <v>0.75</v>
      </c>
      <c r="K6" s="40">
        <f>J6*H6/I6</f>
        <v>5943</v>
      </c>
      <c r="L6" s="40">
        <f>K6/3</f>
        <v>1981</v>
      </c>
      <c r="M6" s="36">
        <f>L6/H6</f>
        <v>0.25</v>
      </c>
    </row>
    <row r="7" spans="4:13" x14ac:dyDescent="0.35">
      <c r="D7">
        <v>7924</v>
      </c>
      <c r="E7" s="35">
        <v>1</v>
      </c>
      <c r="H7" s="41">
        <v>69009</v>
      </c>
      <c r="I7" s="39">
        <v>1</v>
      </c>
      <c r="J7" s="39">
        <v>0.75</v>
      </c>
      <c r="K7" s="40">
        <f t="shared" ref="K7:K12" si="0">J7*H7/I7</f>
        <v>51756.75</v>
      </c>
      <c r="L7" s="40">
        <f t="shared" ref="L7:L12" si="1">K7/3</f>
        <v>17252.25</v>
      </c>
      <c r="M7" s="36">
        <f t="shared" ref="M7:M12" si="2">L7/H7</f>
        <v>0.25</v>
      </c>
    </row>
    <row r="8" spans="4:13" x14ac:dyDescent="0.35">
      <c r="E8" s="35">
        <v>0.75</v>
      </c>
      <c r="H8" s="41">
        <v>2990</v>
      </c>
      <c r="I8" s="39">
        <v>1</v>
      </c>
      <c r="J8" s="39">
        <v>0.75</v>
      </c>
      <c r="K8" s="40">
        <f t="shared" si="0"/>
        <v>2242.5</v>
      </c>
      <c r="L8" s="40">
        <f t="shared" si="1"/>
        <v>747.5</v>
      </c>
      <c r="M8" s="36">
        <f t="shared" si="2"/>
        <v>0.25</v>
      </c>
    </row>
    <row r="9" spans="4:13" x14ac:dyDescent="0.35">
      <c r="D9">
        <f>E8*D7/E7</f>
        <v>5943</v>
      </c>
      <c r="H9" s="41">
        <v>2344</v>
      </c>
      <c r="I9" s="39">
        <v>1</v>
      </c>
      <c r="J9" s="39">
        <v>0.75</v>
      </c>
      <c r="K9" s="40">
        <f t="shared" si="0"/>
        <v>1758</v>
      </c>
      <c r="L9" s="40">
        <f t="shared" si="1"/>
        <v>586</v>
      </c>
      <c r="M9" s="36">
        <f t="shared" si="2"/>
        <v>0.25</v>
      </c>
    </row>
    <row r="10" spans="4:13" x14ac:dyDescent="0.35">
      <c r="H10" s="41">
        <v>406</v>
      </c>
      <c r="I10" s="39">
        <v>1</v>
      </c>
      <c r="J10" s="39">
        <v>0.75</v>
      </c>
      <c r="K10" s="40">
        <f t="shared" si="0"/>
        <v>304.5</v>
      </c>
      <c r="L10" s="40">
        <f t="shared" si="1"/>
        <v>101.5</v>
      </c>
      <c r="M10" s="36">
        <f t="shared" si="2"/>
        <v>0.25</v>
      </c>
    </row>
    <row r="11" spans="4:13" x14ac:dyDescent="0.35">
      <c r="D11">
        <v>2377</v>
      </c>
      <c r="H11" s="41">
        <v>234</v>
      </c>
      <c r="I11" s="39">
        <v>1</v>
      </c>
      <c r="J11" s="39">
        <v>0.75</v>
      </c>
      <c r="K11" s="40">
        <f t="shared" si="0"/>
        <v>175.5</v>
      </c>
      <c r="L11" s="40">
        <f t="shared" si="1"/>
        <v>58.5</v>
      </c>
      <c r="M11" s="36">
        <f t="shared" si="2"/>
        <v>0.25</v>
      </c>
    </row>
    <row r="12" spans="4:13" x14ac:dyDescent="0.35">
      <c r="H12" s="41">
        <v>1590171</v>
      </c>
      <c r="I12" s="39">
        <v>1</v>
      </c>
      <c r="J12" s="39">
        <v>0.06</v>
      </c>
      <c r="K12" s="40">
        <f t="shared" si="0"/>
        <v>95410.26</v>
      </c>
      <c r="L12" s="40">
        <f t="shared" si="1"/>
        <v>31803.42</v>
      </c>
      <c r="M12" s="36">
        <f t="shared" si="2"/>
        <v>0.02</v>
      </c>
    </row>
    <row r="13" spans="4:13" x14ac:dyDescent="0.35">
      <c r="E13" s="36">
        <f>D11/D7</f>
        <v>0.29997476022211006</v>
      </c>
    </row>
    <row r="22" spans="2:2" x14ac:dyDescent="0.35">
      <c r="B22">
        <f>+B28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vt:lpstr>
      <vt:lpstr>Hoja1</vt:lpstr>
      <vt:lpstr>INDICADORES!Área_de_impresión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PATIÑO</dc:creator>
  <cp:lastModifiedBy>FABIAN PATIÑO</cp:lastModifiedBy>
  <cp:lastPrinted>2025-08-08T16:39:12Z</cp:lastPrinted>
  <dcterms:created xsi:type="dcterms:W3CDTF">2024-05-31T00:21:21Z</dcterms:created>
  <dcterms:modified xsi:type="dcterms:W3CDTF">2025-08-08T16:51:26Z</dcterms:modified>
</cp:coreProperties>
</file>