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A. 2024\Indeportes\Mapas\Mapa de Riesgos_Seguimiento\Seguimiento Abril_Agosto\"/>
    </mc:Choice>
  </mc:AlternateContent>
  <bookViews>
    <workbookView xWindow="-110" yWindow="-110" windowWidth="19420" windowHeight="1030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final'!$A$1:$AI$72</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19" i="1" l="1"/>
  <c r="Q19" i="1"/>
  <c r="T21" i="1" l="1"/>
  <c r="Q21" i="1"/>
  <c r="T20" i="1"/>
  <c r="Q20" i="1"/>
  <c r="T18" i="1"/>
  <c r="Q18" i="1"/>
  <c r="T17" i="1"/>
  <c r="Q17" i="1"/>
  <c r="T16" i="1"/>
  <c r="Q16" i="1"/>
  <c r="H16" i="1"/>
  <c r="K18" i="1"/>
  <c r="K21" i="1"/>
  <c r="K17" i="1"/>
  <c r="K19" i="1"/>
  <c r="K20" i="1"/>
  <c r="I16" i="1" l="1"/>
  <c r="X16" i="1" s="1"/>
  <c r="Z16" i="1" l="1"/>
  <c r="X17" i="1" s="1"/>
  <c r="Y16" i="1"/>
  <c r="Y17" i="1" l="1"/>
  <c r="Z17" i="1"/>
  <c r="X18" i="1" s="1"/>
  <c r="Z18" i="1" l="1"/>
  <c r="X19" i="1" s="1"/>
  <c r="Y18" i="1"/>
  <c r="Y19" i="1" l="1"/>
  <c r="Z19" i="1"/>
  <c r="X20" i="1" s="1"/>
  <c r="Q11" i="1"/>
  <c r="Z20" i="1" l="1"/>
  <c r="X21" i="1" s="1"/>
  <c r="Y20" i="1"/>
  <c r="Q10" i="1"/>
  <c r="Z21" i="1" l="1"/>
  <c r="Y21" i="1"/>
  <c r="Q15" i="1"/>
  <c r="T10" i="1" l="1"/>
  <c r="H10" i="1"/>
  <c r="I10" i="1" s="1"/>
  <c r="K24" i="1"/>
  <c r="K47" i="1"/>
  <c r="K41" i="1"/>
  <c r="K32" i="1"/>
  <c r="K57" i="1"/>
  <c r="K68" i="1"/>
  <c r="K36" i="1"/>
  <c r="K50" i="1"/>
  <c r="K51" i="1"/>
  <c r="K42" i="1"/>
  <c r="K49" i="1"/>
  <c r="K30" i="1"/>
  <c r="K60" i="1"/>
  <c r="K59" i="1"/>
  <c r="K33" i="1"/>
  <c r="K35" i="1"/>
  <c r="K37" i="1"/>
  <c r="K53" i="1"/>
  <c r="K45" i="1"/>
  <c r="K69" i="1"/>
  <c r="K43" i="1"/>
  <c r="K63" i="1"/>
  <c r="K62" i="1"/>
  <c r="K39" i="1"/>
  <c r="K29" i="1"/>
  <c r="K54" i="1"/>
  <c r="K61" i="1"/>
  <c r="K67" i="1"/>
  <c r="K48" i="1"/>
  <c r="K27" i="1"/>
  <c r="K55" i="1"/>
  <c r="K44" i="1"/>
  <c r="K31" i="1"/>
  <c r="K38" i="1"/>
  <c r="K56" i="1"/>
  <c r="K66" i="1"/>
  <c r="K65" i="1"/>
  <c r="K26" i="1"/>
  <c r="K23" i="1"/>
  <c r="K25" i="1"/>
  <c r="F221" i="13" l="1"/>
  <c r="F211" i="13"/>
  <c r="F212" i="13"/>
  <c r="F213" i="13"/>
  <c r="F214" i="13"/>
  <c r="F215" i="13"/>
  <c r="F216" i="13"/>
  <c r="F217" i="13"/>
  <c r="F218" i="13"/>
  <c r="F219" i="13"/>
  <c r="F220" i="13"/>
  <c r="F210" i="13"/>
  <c r="B221" i="13" a="1"/>
  <c r="K12" i="1"/>
  <c r="K14" i="1"/>
  <c r="K11" i="1"/>
  <c r="K15" i="1"/>
  <c r="K13"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Q14" i="1"/>
  <c r="Q13" i="1"/>
  <c r="AB65" i="1" l="1"/>
  <c r="AB35" i="1"/>
  <c r="AB59" i="1"/>
  <c r="AB50" i="1"/>
  <c r="AA50" i="1" s="1"/>
  <c r="AB51" i="1"/>
  <c r="AA51"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l="1"/>
  <c r="Y23" i="1" s="1"/>
  <c r="Y59" i="1"/>
  <c r="Y53" i="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Z23" i="1" l="1"/>
  <c r="X24" i="1" s="1"/>
  <c r="Y24" i="1" s="1"/>
  <c r="Y61" i="1"/>
  <c r="Z61" i="1"/>
  <c r="Y55" i="1"/>
  <c r="Z55" i="1"/>
  <c r="X56" i="1" s="1"/>
  <c r="Y66" i="1"/>
  <c r="Z66" i="1"/>
  <c r="X67" i="1" s="1"/>
  <c r="Y47" i="1"/>
  <c r="Z47" i="1"/>
  <c r="X48" i="1" s="1"/>
  <c r="Y48" i="1" s="1"/>
  <c r="X43" i="1"/>
  <c r="Y35" i="1"/>
  <c r="Z35" i="1"/>
  <c r="X36" i="1" s="1"/>
  <c r="Y36" i="1" s="1"/>
  <c r="X32" i="1"/>
  <c r="Y32" i="1" s="1"/>
  <c r="X31" i="1"/>
  <c r="Z24" i="1" l="1"/>
  <c r="X25" i="1" s="1"/>
  <c r="Z25" i="1" s="1"/>
  <c r="Z48" i="1"/>
  <c r="X49" i="1" s="1"/>
  <c r="Y49" i="1" s="1"/>
  <c r="Z36" i="1"/>
  <c r="X37" i="1" s="1"/>
  <c r="Z37" i="1" s="1"/>
  <c r="X38" i="1" s="1"/>
  <c r="Y56" i="1"/>
  <c r="Z56" i="1"/>
  <c r="X57" i="1" s="1"/>
  <c r="X62" i="1"/>
  <c r="X63" i="1"/>
  <c r="Y43" i="1"/>
  <c r="Z43" i="1"/>
  <c r="X44" i="1" s="1"/>
  <c r="Y44" i="1" s="1"/>
  <c r="X26" i="1"/>
  <c r="Z67" i="1"/>
  <c r="Y67" i="1"/>
  <c r="Y31" i="1"/>
  <c r="Z31" i="1"/>
  <c r="Z32" i="1"/>
  <c r="X33" i="1" s="1"/>
  <c r="Q12" i="1"/>
  <c r="Y25" i="1" l="1"/>
  <c r="Y37" i="1"/>
  <c r="Z49" i="1"/>
  <c r="Y63" i="1"/>
  <c r="Z63" i="1"/>
  <c r="Y62" i="1"/>
  <c r="Z62" i="1"/>
  <c r="Y57" i="1"/>
  <c r="Z57" i="1"/>
  <c r="X68" i="1"/>
  <c r="X69" i="1"/>
  <c r="Z44" i="1"/>
  <c r="X45" i="1" s="1"/>
  <c r="Y45" i="1" s="1"/>
  <c r="Z38" i="1"/>
  <c r="X39" i="1" s="1"/>
  <c r="Y38" i="1"/>
  <c r="Y26" i="1"/>
  <c r="Z26" i="1"/>
  <c r="X27" i="1" s="1"/>
  <c r="Y27" i="1" s="1"/>
  <c r="Y33" i="1"/>
  <c r="Z33" i="1"/>
  <c r="X10" i="1"/>
  <c r="Y10" i="1" s="1"/>
  <c r="Y69" i="1" l="1"/>
  <c r="Z69" i="1"/>
  <c r="Y68" i="1"/>
  <c r="Z68" i="1"/>
  <c r="Y39" i="1"/>
  <c r="Z39" i="1"/>
  <c r="Z45" i="1"/>
  <c r="Z27" i="1"/>
  <c r="Z10" i="1" l="1"/>
  <c r="X11" i="1" s="1"/>
  <c r="Y11" i="1" l="1"/>
  <c r="Z11" i="1" l="1"/>
  <c r="X12" i="1" s="1"/>
  <c r="Y12" i="1" s="1"/>
  <c r="Z12" i="1" l="1"/>
  <c r="X13" i="1" s="1"/>
  <c r="Z13" i="1" l="1"/>
  <c r="X14" i="1" s="1"/>
  <c r="Y14" i="1" l="1"/>
  <c r="Z14" i="1"/>
  <c r="X15" i="1" s="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16" i="1" l="1"/>
  <c r="L16" i="1" s="1"/>
  <c r="M16" i="1" s="1"/>
  <c r="AB16" i="1" s="1"/>
  <c r="K40" i="1"/>
  <c r="L40" i="1" s="1"/>
  <c r="K10" i="1"/>
  <c r="L10" i="1" s="1"/>
  <c r="K28" i="1"/>
  <c r="L28" i="1" s="1"/>
  <c r="K22" i="1"/>
  <c r="L22" i="1" s="1"/>
  <c r="K52" i="1"/>
  <c r="L52" i="1" s="1"/>
  <c r="K46" i="1"/>
  <c r="L46" i="1" s="1"/>
  <c r="K34" i="1"/>
  <c r="L34" i="1" s="1"/>
  <c r="K64" i="1"/>
  <c r="L64" i="1" s="1"/>
  <c r="K58" i="1"/>
  <c r="L58" i="1" s="1"/>
  <c r="N16" i="1" l="1"/>
  <c r="AA16" i="1"/>
  <c r="AC16" i="1" s="1"/>
  <c r="AB17"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A17" i="1" l="1"/>
  <c r="AC17" i="1" s="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P18" i="19" s="1"/>
  <c r="AB23" i="1"/>
  <c r="AH7" i="19"/>
  <c r="AA10" i="1"/>
  <c r="P6" i="19" s="1"/>
  <c r="AB11" i="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AA18" i="1" l="1"/>
  <c r="AC18" i="1" s="1"/>
  <c r="AB19" i="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V3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AA11" i="1"/>
  <c r="W26" i="19" s="1"/>
  <c r="AB12" i="1"/>
  <c r="AB6" i="19"/>
  <c r="AB36" i="19"/>
  <c r="V6" i="19"/>
  <c r="AH16" i="19"/>
  <c r="V36" i="19"/>
  <c r="AC10" i="1"/>
  <c r="P26" i="19"/>
  <c r="V26" i="19"/>
  <c r="V16" i="19"/>
  <c r="AH36" i="19"/>
  <c r="J16" i="19"/>
  <c r="AH26" i="19"/>
  <c r="AB26" i="19"/>
  <c r="AB16" i="19"/>
  <c r="P46" i="19"/>
  <c r="AH46" i="19"/>
  <c r="J6" i="19"/>
  <c r="AH6" i="19"/>
  <c r="AB46" i="19"/>
  <c r="V46" i="19"/>
  <c r="AA19" i="1" l="1"/>
  <c r="Y37" i="19" s="1"/>
  <c r="AB20" i="1"/>
  <c r="AC11" i="1"/>
  <c r="S37" i="19"/>
  <c r="Y47" i="19"/>
  <c r="M17" i="19"/>
  <c r="AK27" i="19"/>
  <c r="Y27" i="19"/>
  <c r="AE7" i="19"/>
  <c r="AK37" i="19"/>
  <c r="S27" i="19"/>
  <c r="AE27" i="19"/>
  <c r="AE17" i="19"/>
  <c r="Y7" i="19"/>
  <c r="AE3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AA12" i="1"/>
  <c r="L16" i="19" s="1"/>
  <c r="AB13" i="1"/>
  <c r="AK7" i="19" l="1"/>
  <c r="Y17" i="19"/>
  <c r="S47" i="19"/>
  <c r="M47" i="19"/>
  <c r="M37" i="19"/>
  <c r="AK17" i="19"/>
  <c r="S7" i="19"/>
  <c r="AE47" i="19"/>
  <c r="AC19" i="1"/>
  <c r="R12" i="19"/>
  <c r="AA20" i="1"/>
  <c r="AB21" i="1"/>
  <c r="AA21" i="1" s="1"/>
  <c r="L22" i="19"/>
  <c r="AJ12" i="19"/>
  <c r="AD52" i="19"/>
  <c r="R22" i="19"/>
  <c r="X12" i="19"/>
  <c r="X42" i="19"/>
  <c r="X32" i="19"/>
  <c r="AJ52" i="19"/>
  <c r="AJ32" i="19"/>
  <c r="L42" i="19"/>
  <c r="R42" i="19"/>
  <c r="X52" i="19"/>
  <c r="AJ22" i="19"/>
  <c r="AD32" i="19"/>
  <c r="R32" i="19"/>
  <c r="AC48" i="1"/>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A13" i="1"/>
  <c r="AK46" i="19" s="1"/>
  <c r="AB14" i="1"/>
  <c r="AJ36" i="19"/>
  <c r="AD16" i="19"/>
  <c r="AD36" i="19"/>
  <c r="R36" i="19"/>
  <c r="X16" i="19"/>
  <c r="R16" i="19"/>
  <c r="X26" i="19"/>
  <c r="L6" i="19"/>
  <c r="AC21" i="1" l="1"/>
  <c r="O17" i="19"/>
  <c r="AM7" i="19"/>
  <c r="U47" i="19"/>
  <c r="AG7" i="19"/>
  <c r="AG17" i="19"/>
  <c r="AG37" i="19"/>
  <c r="O47" i="19"/>
  <c r="AG47" i="19"/>
  <c r="U7" i="19"/>
  <c r="AM27" i="19"/>
  <c r="O37" i="19"/>
  <c r="AA7" i="19"/>
  <c r="AA47" i="19"/>
  <c r="O7" i="19"/>
  <c r="U37" i="19"/>
  <c r="AA17" i="19"/>
  <c r="O27" i="19"/>
  <c r="AA37" i="19"/>
  <c r="AG27" i="19"/>
  <c r="AM47" i="19"/>
  <c r="AM17" i="19"/>
  <c r="AA27" i="19"/>
  <c r="U27" i="19"/>
  <c r="AM37" i="19"/>
  <c r="U17" i="19"/>
  <c r="AC20" i="1"/>
  <c r="T7" i="19"/>
  <c r="AF47" i="19"/>
  <c r="AL7" i="19"/>
  <c r="Z17" i="19"/>
  <c r="T37" i="19"/>
  <c r="Z27" i="19"/>
  <c r="AL37" i="19"/>
  <c r="AL47" i="19"/>
  <c r="AL17" i="19"/>
  <c r="AL27" i="19"/>
  <c r="N27" i="19"/>
  <c r="T17" i="19"/>
  <c r="T27" i="19"/>
  <c r="AF17" i="19"/>
  <c r="Z37" i="19"/>
  <c r="AF7" i="19"/>
  <c r="Z47" i="19"/>
  <c r="AF27" i="19"/>
  <c r="AF37" i="19"/>
  <c r="N37" i="19"/>
  <c r="N7" i="19"/>
  <c r="N17" i="19"/>
  <c r="N47" i="19"/>
  <c r="Z7" i="19"/>
  <c r="T47" i="19"/>
  <c r="M36" i="19"/>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AA14" i="1"/>
  <c r="Z26" i="19" s="1"/>
  <c r="AB15" i="1"/>
  <c r="AA15" i="1" s="1"/>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 r="B223" i="13"/>
  <c r="B222" i="13"/>
</calcChain>
</file>

<file path=xl/comments1.xml><?xml version="1.0" encoding="utf-8"?>
<comments xmlns="http://schemas.openxmlformats.org/spreadsheetml/2006/main">
  <authors>
    <author>USUARIO</author>
  </authors>
  <commentList>
    <comment ref="C8" authorId="0" shapeId="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<sst xmlns="http://schemas.openxmlformats.org/spreadsheetml/2006/main" count="393" uniqueCount="240">
  <si>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</si>
  <si>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</si>
  <si>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</si>
  <si>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</si>
  <si>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</si>
  <si>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</si>
  <si>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</si>
  <si>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</si>
  <si>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</si>
  <si>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</si>
  <si>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</si>
  <si>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</si>
  <si>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</si>
  <si>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</si>
  <si>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</si>
  <si>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</si>
  <si>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</si>
  <si>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</si>
  <si>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</si>
  <si>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</si>
  <si>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</si>
  <si>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</si>
  <si>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</si>
  <si>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</si>
  <si>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</si>
  <si>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</si>
  <si>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</si>
  <si>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</si>
  <si>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</si>
  <si>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</si>
  <si>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</si>
  <si>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</si>
  <si>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</si>
  <si>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</si>
  <si>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</si>
  <si>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</si>
  <si>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</si>
  <si>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</si>
  <si>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</si>
  <si>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</si>
  <si>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</si>
  <si>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</si>
  <si>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</si>
  <si>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</si>
  <si>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</si>
  <si>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</si>
  <si>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</si>
  <si>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</si>
  <si>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</si>
  <si>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</si>
  <si>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</si>
  <si>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</si>
  <si>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</si>
  <si>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</si>
  <si>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</si>
  <si>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</si>
  <si>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</si>
  <si>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</si>
  <si>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</si>
  <si>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</si>
  <si>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</si>
  <si>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</si>
  <si>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</si>
  <si>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</si>
  <si>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</si>
  <si>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</si>
  <si>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</si>
  <si>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</si>
  <si>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</si>
  <si>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</si>
  <si>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</si>
  <si>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</si>
  <si>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</si>
  <si>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</si>
  <si>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</si>
  <si>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</si>
  <si>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</si>
  <si>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</si>
  <si>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</si>
  <si>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</si>
  <si>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</si>
  <si>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</si>
  <si>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</si>
  <si>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</si>
  <si>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</si>
  <si>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</si>
  <si>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</si>
  <si>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</si>
  <si>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</si>
  <si>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</si>
  <si>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</si>
  <si>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</si>
  <si>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</si>
  <si>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</si>
  <si>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</si>
  <si>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</si>
  <si>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</si>
  <si>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</si>
  <si>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</si>
  <si>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</si>
  <si>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</si>
  <si>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</si>
  <si>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</si>
  <si>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</si>
  <si>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</si>
  <si>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</si>
  <si>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</si>
  <si>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</si>
  <si>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</si>
  <si>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</si>
  <si>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</si>
  <si>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</si>
  <si>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</si>
  <si>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</si>
  <si>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</si>
  <si>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</si>
  <si>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</si>
  <si>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</si>
  <si>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</si>
  <si>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</si>
  <si>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</si>
  <si>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</si>
  <si>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</si>
  <si>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</si>
  <si>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</si>
  <si>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</si>
  <si>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</si>
  <si>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</si>
  <si>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</si>
  <si>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</si>
  <si>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</si>
  <si>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</si>
  <si>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</si>
  <si>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</si>
  <si>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</si>
  <si>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</si>
  <si>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</si>
  <si>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</si>
  <si>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</si>
  <si>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</si>
  <si>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</si>
  <si>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</si>
  <si>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</si>
  <si>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</si>
  <si>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</si>
  <si>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</si>
  <si>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</si>
  <si>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</si>
  <si>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</si>
  <si>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</si>
  <si>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</si>
  <si>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</si>
  <si>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</si>
  <si>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</si>
  <si>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</si>
  <si>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</si>
  <si>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</si>
  <si>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</si>
  <si>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</si>
  <si>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</si>
  <si>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</si>
  <si>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</si>
  <si>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</si>
  <si>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</si>
  <si>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</si>
  <si>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</si>
  <si>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</si>
  <si>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</si>
  <si>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</si>
  <si>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</si>
  <si>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</si>
  <si>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</si>
  <si>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</si>
  <si>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</si>
  <si>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</si>
  <si>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</si>
  <si>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</si>
  <si>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</si>
  <si>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</si>
  <si>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</si>
  <si>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</si>
  <si>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</si>
  <si>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</si>
  <si>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</si>
  <si>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</si>
  <si>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</si>
  <si>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</si>
  <si>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</si>
  <si>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</si>
  <si>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</si>
  <si>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</si>
  <si>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</si>
  <si>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</si>
  <si>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</si>
  <si>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</si>
  <si>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</si>
  <si>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</si>
  <si>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</si>
  <si>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</si>
  <si>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</si>
  <si>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</si>
  <si>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</si>
  <si>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</si>
  <si>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</si>
  <si>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</si>
  <si>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</si>
  <si>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</si>
  <si>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</si>
  <si>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</si>
  <si>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</si>
  <si>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</si>
  <si>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</si>
  <si>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</si>
  <si>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</si>
  <si>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Gestión Administrativa y Financiera /Contabilidad</t>
  </si>
  <si>
    <t>Responder por el Registro, análisis y elaboración de la información financiera, contable y presupuestal; garantizado la veracidad de los estados financieros y contables para la toma de decisiones de INDEPORTES CAUCA, conforme a las disposiciones legales.</t>
  </si>
  <si>
    <t>Inicia desde la identificación de la necesidad de recursos, hasta el pleno registro e informes financieros de carácter presupuestal, tesoral y contable.</t>
  </si>
  <si>
    <t>Reportar información contable errada</t>
  </si>
  <si>
    <t xml:space="preserve">Inadecuados registros financieros, fallas en la parametrización y registros deficientes e inoportunos, manipulación de cifras contables </t>
  </si>
  <si>
    <t>Contador</t>
  </si>
  <si>
    <t>MAPA DE RIESGOS DEL PROCESO</t>
  </si>
  <si>
    <t>Posibilidad de pagar a destiempo las cuentas por pagar</t>
  </si>
  <si>
    <t>Solicitar a la subgerencia tecnica el informe de relacion de cuentas no pagadas durante el mes</t>
  </si>
  <si>
    <t>Informe de relacion de Cuentas por pagar</t>
  </si>
  <si>
    <t>Llevar el control en la Matriz de pagos de las diferentes cuentas de los contratistas de los programas de inversión</t>
  </si>
  <si>
    <t>Enviar informe de relación de cuentas por pagar a la oficina juridica</t>
  </si>
  <si>
    <t>Posibilidad de depuración contable inadecuada en el cumplimiento de las obligaciones legales</t>
  </si>
  <si>
    <t>Depuracion de saldos de forma trimestral</t>
  </si>
  <si>
    <t>Revisar rubro por rubro para la depuracion correspondiente, logrando asi una exactitud en los saldos</t>
  </si>
  <si>
    <t>Conciliación de los saldos para el reporte de la información</t>
  </si>
  <si>
    <t>Reporte CHIP Contable</t>
  </si>
  <si>
    <t>Verificación de de la información contable en el sistema Xpert</t>
  </si>
  <si>
    <t>Realizar la verificación de la información Contable cada vez que sea necesario</t>
  </si>
  <si>
    <t xml:space="preserve">Posibilidad de incumplimiento en las normas vigentes contables 
</t>
  </si>
  <si>
    <t>Resolución de cuentas por pagar de la vigencia anterior con un saldo incremenrado</t>
  </si>
  <si>
    <t xml:space="preserve">Errores humanos en la clasificación, registro o ajuste de las cuentas </t>
  </si>
  <si>
    <t>Pago a destiempo de las cuentas</t>
  </si>
  <si>
    <t>Depuración Contable inadecuada</t>
  </si>
  <si>
    <t xml:space="preserve">
Manual de  politicas Contables
</t>
  </si>
  <si>
    <t>Aplicar la politicas contables en todas las transacciones que se realizan en contabilidad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</si>
</sst>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4"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name val="Calibri"/>
      <family val="2"/>
      <scheme val="minor"/>
    </font>
    <font>
      <b/>
      <sz val="11"/>
      <color theme="9" tint="-0.249977111117893"/>
      <name val="Calibri"/>
      <family val="2"/>
      <scheme val="minor"/>
    </font>
    <font>
      <b/>
      <sz val="14"/>
      <color theme="1"/>
      <name val="Arial"/>
      <family val="2"/>
    </font>
    <font>
      <sz val="11"/>
      <color theme="1"/>
      <name val="Arial"/>
      <family val="2"/>
    </font>
    <font>
      <b/>
      <sz val="11"/>
      <color theme="1"/>
      <name val="Arial"/>
      <family val="2"/>
    </font>
    <font>
      <sz val="12"/>
      <color theme="1"/>
      <name val="Arial"/>
      <family val="2"/>
    </font>
    <font>
      <b/>
      <sz val="16"/>
      <name val="Arial"/>
      <family val="2"/>
    </font>
    <font>
      <sz val="16"/>
      <name val="Arial"/>
      <family val="2"/>
    </font>
    <font>
      <sz val="10"/>
      <color theme="1"/>
      <name val="Arial"/>
      <family val="2"/>
    </font>
    <font>
      <b/>
      <sz val="12"/>
      <color theme="1"/>
      <name val="Arial"/>
      <family val="2"/>
    </font>
  </fonts>
  <fills count="18">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s>
  <borders count="122">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top style="medium">
        <color indexed="64"/>
      </top>
      <bottom style="dashed">
        <color theme="9" tint="-0.24994659260841701"/>
      </bottom>
      <diagonal/>
    </border>
    <border>
      <left/>
      <right style="dashed">
        <color theme="9" tint="-0.24994659260841701"/>
      </right>
      <top style="medium">
        <color indexed="64"/>
      </top>
      <bottom/>
      <diagonal/>
    </border>
    <border>
      <left/>
      <right style="dashed">
        <color theme="9" tint="-0.24994659260841701"/>
      </right>
      <top/>
      <bottom/>
      <diagonal/>
    </border>
    <border>
      <left/>
      <right style="dashed">
        <color theme="9" tint="-0.24994659260841701"/>
      </right>
      <top/>
      <bottom style="medium">
        <color indexed="64"/>
      </bottom>
      <diagonal/>
    </border>
    <border>
      <left style="dashed">
        <color theme="9" tint="-0.24994659260841701"/>
      </left>
      <right style="dotted">
        <color rgb="FFFF9900"/>
      </right>
      <top style="medium">
        <color indexed="64"/>
      </top>
      <bottom/>
      <diagonal/>
    </border>
    <border>
      <left style="dashed">
        <color theme="9" tint="-0.24994659260841701"/>
      </left>
      <right style="dotted">
        <color rgb="FFFF9900"/>
      </right>
      <top/>
      <bottom/>
      <diagonal/>
    </border>
    <border>
      <left style="dashed">
        <color theme="9" tint="-0.24994659260841701"/>
      </left>
      <right style="dotted">
        <color rgb="FFFF9900"/>
      </right>
      <top/>
      <bottom style="medium">
        <color indexed="64"/>
      </bottom>
      <diagonal/>
    </border>
    <border>
      <left style="medium">
        <color indexed="64"/>
      </left>
      <right style="dotted">
        <color rgb="FFFF9900"/>
      </right>
      <top style="medium">
        <color indexed="64"/>
      </top>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right style="medium">
        <color indexed="64"/>
      </right>
      <top style="thin">
        <color indexed="64"/>
      </top>
      <bottom style="thin">
        <color indexed="64"/>
      </bottom>
      <diagonal/>
    </border>
    <border>
      <left style="dashed">
        <color theme="9" tint="-0.24994659260841701"/>
      </left>
      <right/>
      <top style="medium">
        <color indexed="64"/>
      </top>
      <bottom/>
      <diagonal/>
    </border>
    <border>
      <left style="dashed">
        <color theme="9" tint="-0.24994659260841701"/>
      </left>
      <right/>
      <top/>
      <bottom/>
      <diagonal/>
    </border>
    <border>
      <left style="dashed">
        <color theme="9" tint="-0.24994659260841701"/>
      </left>
      <right/>
      <top/>
      <bottom style="medium">
        <color indexed="64"/>
      </bottom>
      <diagonal/>
    </border>
    <border>
      <left style="dashed">
        <color theme="9" tint="-0.24994659260841701"/>
      </left>
      <right/>
      <top/>
      <bottom style="dashed">
        <color theme="9" tint="-0.24994659260841701"/>
      </bottom>
      <diagonal/>
    </border>
    <border>
      <left style="thin">
        <color indexed="64"/>
      </left>
      <right style="thin">
        <color indexed="64"/>
      </right>
      <top/>
      <bottom/>
      <diagonal/>
    </border>
    <border>
      <left style="thin">
        <color indexed="64"/>
      </left>
      <right style="thin">
        <color theme="9" tint="0.59999389629810485"/>
      </right>
      <top style="medium">
        <color indexed="64"/>
      </top>
      <bottom style="thin">
        <color theme="9" tint="0.59999389629810485"/>
      </bottom>
      <diagonal/>
    </border>
    <border>
      <left style="thin">
        <color theme="9" tint="0.59999389629810485"/>
      </left>
      <right style="medium">
        <color indexed="64"/>
      </right>
      <top style="thin">
        <color theme="9" tint="0.59999389629810485"/>
      </top>
      <bottom style="thin">
        <color indexed="64"/>
      </bottom>
      <diagonal/>
    </border>
    <border>
      <left style="thin">
        <color theme="9" tint="0.59999389629810485"/>
      </left>
      <right style="medium">
        <color indexed="64"/>
      </right>
      <top style="medium">
        <color indexed="64"/>
      </top>
      <bottom/>
      <diagonal/>
    </border>
    <border>
      <left style="dashed">
        <color theme="9" tint="-0.24994659260841701"/>
      </left>
      <right style="dashed">
        <color theme="9" tint="-0.24994659260841701"/>
      </right>
      <top style="thin">
        <color theme="9" tint="0.59999389629810485"/>
      </top>
      <bottom style="dashed">
        <color theme="9" tint="-0.24994659260841701"/>
      </bottom>
      <diagonal/>
    </border>
    <border>
      <left style="dashed">
        <color theme="9" tint="-0.24994659260841701"/>
      </left>
      <right style="dashed">
        <color theme="9" tint="-0.24994659260841701"/>
      </right>
      <top style="thin">
        <color theme="9" tint="0.59999389629810485"/>
      </top>
      <bottom style="thin">
        <color theme="9" tint="0.59999389629810485"/>
      </bottom>
      <diagonal/>
    </border>
    <border>
      <left style="thin">
        <color theme="9" tint="0.59999389629810485"/>
      </left>
      <right style="dashed">
        <color theme="9" tint="-0.24994659260841701"/>
      </right>
      <top style="medium">
        <color indexed="64"/>
      </top>
      <bottom style="thin">
        <color theme="9" tint="0.59999389629810485"/>
      </bottom>
      <diagonal/>
    </border>
    <border>
      <left style="thin">
        <color theme="9" tint="0.59999389629810485"/>
      </left>
      <right style="dashed">
        <color theme="9" tint="-0.24994659260841701"/>
      </right>
      <top style="thin">
        <color theme="9" tint="0.59999389629810485"/>
      </top>
      <bottom style="thin">
        <color indexed="64"/>
      </bottom>
      <diagonal/>
    </border>
    <border>
      <left style="thin">
        <color theme="9" tint="0.59999389629810485"/>
      </left>
      <right style="thin">
        <color theme="9" tint="0.59999389629810485"/>
      </right>
      <top style="medium">
        <color indexed="64"/>
      </top>
      <bottom style="thin">
        <color theme="9" tint="0.59999389629810485"/>
      </bottom>
      <diagonal/>
    </border>
    <border>
      <left style="thin">
        <color theme="9" tint="0.59999389629810485"/>
      </left>
      <right style="thin">
        <color theme="9" tint="0.59999389629810485"/>
      </right>
      <top style="thin">
        <color theme="9" tint="0.59999389629810485"/>
      </top>
      <bottom style="thin">
        <color indexed="64"/>
      </bottom>
      <diagonal/>
    </border>
    <border>
      <left style="dashed">
        <color theme="9" tint="-0.24994659260841701"/>
      </left>
      <right style="thin">
        <color theme="9" tint="0.59999389629810485"/>
      </right>
      <top style="medium">
        <color indexed="64"/>
      </top>
      <bottom style="dashed">
        <color theme="9" tint="-0.24994659260841701"/>
      </bottom>
      <diagonal/>
    </border>
    <border>
      <left/>
      <right style="dashed">
        <color theme="9" tint="-0.24994659260841701"/>
      </right>
      <top style="medium">
        <color indexed="64"/>
      </top>
      <bottom style="dashed">
        <color theme="9" tint="-0.24994659260841701"/>
      </bottom>
      <diagonal/>
    </border>
    <border>
      <left style="thin">
        <color indexed="64"/>
      </left>
      <right style="thin">
        <color theme="9" tint="0.59999389629810485"/>
      </right>
      <top style="thin">
        <color theme="9" tint="0.59999389629810485"/>
      </top>
      <bottom style="thin">
        <color indexed="64"/>
      </bottom>
      <diagonal/>
    </border>
    <border>
      <left/>
      <right style="dashed">
        <color theme="9" tint="-0.24994659260841701"/>
      </right>
      <top style="dashed">
        <color theme="9" tint="-0.24994659260841701"/>
      </top>
      <bottom style="dashed">
        <color theme="9" tint="-0.24994659260841701"/>
      </bottom>
      <diagonal/>
    </border>
    <border>
      <left style="thin">
        <color theme="9" tint="0.59999389629810485"/>
      </left>
      <right style="dashed">
        <color theme="9" tint="-0.24994659260841701"/>
      </right>
      <top style="thin">
        <color theme="9" tint="0.59999389629810485"/>
      </top>
      <bottom style="dashed">
        <color theme="9" tint="-0.24994659260841701"/>
      </bottom>
      <diagonal/>
    </border>
    <border>
      <left style="dashed">
        <color theme="9" tint="-0.24994659260841701"/>
      </left>
      <right style="thin">
        <color theme="9" tint="0.59999389629810485"/>
      </right>
      <top style="thin">
        <color theme="9" tint="0.59999389629810485"/>
      </top>
      <bottom style="thin">
        <color indexed="64"/>
      </bottom>
      <diagonal/>
    </border>
    <border>
      <left/>
      <right style="thin">
        <color indexed="64"/>
      </right>
      <top style="medium">
        <color indexed="64"/>
      </top>
      <bottom style="thin">
        <color indexed="64"/>
      </bottom>
      <diagonal/>
    </border>
    <border>
      <left style="dashed">
        <color theme="9" tint="-0.24994659260841701"/>
      </left>
      <right style="thin">
        <color theme="9" tint="0.59999389629810485"/>
      </right>
      <top style="medium">
        <color indexed="64"/>
      </top>
      <bottom style="thin">
        <color theme="9" tint="0.59999389629810485"/>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720">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57" fillId="16" borderId="65" xfId="0" applyFont="1" applyFill="1" applyBorder="1" applyAlignment="1">
      <alignment horizontal="center" vertical="center" textRotation="9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9" fontId="0" fillId="17" borderId="2" xfId="0" applyNumberFormat="1" applyFont="1" applyFill="1" applyBorder="1" applyAlignment="1" applyProtection="1">
      <alignment horizontal="center" vertical="center"/>
      <protection hidden="1"/>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14" fontId="0" fillId="0" borderId="87" xfId="0" applyNumberFormat="1" applyFont="1" applyBorder="1" applyAlignment="1" applyProtection="1">
      <alignment horizontal="center" vertical="center"/>
      <protection locked="0"/>
    </xf>
    <xf numFmtId="14" fontId="0" fillId="0" borderId="97" xfId="0" applyNumberFormat="1" applyFont="1" applyBorder="1" applyAlignment="1" applyProtection="1">
      <alignment horizontal="center" vertical="center"/>
      <protection locked="0"/>
    </xf>
    <xf numFmtId="14" fontId="0" fillId="0" borderId="98" xfId="0" applyNumberFormat="1" applyFont="1" applyBorder="1" applyAlignment="1" applyProtection="1">
      <alignment horizontal="center" vertical="center"/>
      <protection locked="0"/>
    </xf>
    <xf numFmtId="14" fontId="0" fillId="0" borderId="97" xfId="0" applyNumberFormat="1" applyFont="1" applyBorder="1" applyAlignment="1" applyProtection="1">
      <alignment horizontal="center" vertical="top"/>
      <protection locked="0"/>
    </xf>
    <xf numFmtId="14" fontId="0" fillId="0" borderId="98" xfId="0" applyNumberFormat="1" applyFont="1" applyBorder="1" applyAlignment="1" applyProtection="1">
      <alignment horizontal="center" vertical="top"/>
      <protection locked="0"/>
    </xf>
    <xf numFmtId="14" fontId="0" fillId="0" borderId="87"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33" fillId="3" borderId="23" xfId="0" applyFont="1" applyFill="1" applyBorder="1" applyAlignment="1">
      <alignment horizontal="center" vertical="top" wrapText="1"/>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3"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0" fontId="67" fillId="0" borderId="69" xfId="0" applyFont="1" applyBorder="1" applyAlignment="1" applyProtection="1">
      <alignment horizontal="center" vertical="center"/>
      <protection locked="0"/>
    </xf>
    <xf numFmtId="0" fontId="67" fillId="3" borderId="0" xfId="0" applyFont="1" applyFill="1" applyAlignment="1">
      <alignment vertical="center"/>
    </xf>
    <xf numFmtId="0" fontId="67" fillId="0" borderId="0" xfId="0" applyFont="1" applyAlignment="1">
      <alignment vertical="center"/>
    </xf>
    <xf numFmtId="0" fontId="66" fillId="0" borderId="2" xfId="0" applyFont="1" applyBorder="1" applyAlignment="1" applyProtection="1">
      <alignment horizontal="center" vertical="center"/>
    </xf>
    <xf numFmtId="0" fontId="67" fillId="3" borderId="80" xfId="0" applyFont="1" applyFill="1" applyBorder="1" applyAlignment="1">
      <alignment horizontal="center" vertical="center" wrapText="1"/>
    </xf>
    <xf numFmtId="14" fontId="67" fillId="0" borderId="97" xfId="0" applyNumberFormat="1" applyFont="1" applyBorder="1" applyAlignment="1" applyProtection="1">
      <alignment horizontal="center" vertical="center"/>
      <protection locked="0"/>
    </xf>
    <xf numFmtId="0" fontId="67" fillId="0" borderId="71" xfId="0" applyFont="1" applyBorder="1" applyAlignment="1" applyProtection="1">
      <alignment horizontal="center" vertical="center"/>
      <protection locked="0"/>
    </xf>
    <xf numFmtId="0" fontId="68" fillId="0" borderId="2" xfId="0" applyFont="1" applyBorder="1" applyAlignment="1" applyProtection="1">
      <alignment horizontal="center" vertical="center"/>
    </xf>
    <xf numFmtId="0" fontId="73" fillId="0" borderId="74" xfId="0" applyFont="1" applyBorder="1" applyAlignment="1" applyProtection="1">
      <alignment horizontal="center" vertical="center"/>
    </xf>
    <xf numFmtId="0" fontId="67" fillId="3" borderId="82" xfId="0" applyFont="1" applyFill="1" applyBorder="1" applyAlignment="1">
      <alignment horizontal="center" vertical="center" wrapText="1"/>
    </xf>
    <xf numFmtId="14" fontId="67" fillId="0" borderId="98" xfId="0" applyNumberFormat="1" applyFont="1" applyBorder="1" applyAlignment="1" applyProtection="1">
      <alignment horizontal="center" vertical="center"/>
      <protection locked="0"/>
    </xf>
    <xf numFmtId="0" fontId="67" fillId="0" borderId="75" xfId="0" applyFont="1" applyBorder="1" applyAlignment="1" applyProtection="1">
      <alignment horizontal="center" vertical="center"/>
      <protection locked="0"/>
    </xf>
    <xf numFmtId="0" fontId="57" fillId="7" borderId="99" xfId="0" applyFont="1" applyFill="1" applyBorder="1" applyAlignment="1">
      <alignment horizontal="center" vertical="center"/>
    </xf>
    <xf numFmtId="0" fontId="56" fillId="0" borderId="23" xfId="0" applyFont="1" applyBorder="1" applyAlignment="1" applyProtection="1">
      <alignment horizontal="center" vertical="center"/>
    </xf>
    <xf numFmtId="0" fontId="0" fillId="3" borderId="23" xfId="0" applyFont="1" applyFill="1" applyBorder="1" applyAlignment="1">
      <alignment horizontal="center" vertical="center" wrapText="1"/>
    </xf>
    <xf numFmtId="14" fontId="0" fillId="0" borderId="23" xfId="0" applyNumberFormat="1" applyFont="1" applyBorder="1" applyAlignment="1" applyProtection="1">
      <alignment horizontal="center" vertical="top"/>
      <protection locked="0"/>
    </xf>
    <xf numFmtId="0" fontId="33" fillId="0" borderId="23" xfId="0" applyFont="1" applyBorder="1" applyAlignment="1" applyProtection="1">
      <alignment horizontal="center" vertical="center"/>
    </xf>
    <xf numFmtId="0" fontId="0" fillId="3" borderId="23" xfId="0" applyFont="1" applyFill="1" applyBorder="1" applyAlignment="1">
      <alignment vertical="center" wrapText="1"/>
    </xf>
    <xf numFmtId="0" fontId="67" fillId="0" borderId="68" xfId="0" applyFont="1" applyBorder="1" applyAlignment="1" applyProtection="1">
      <alignment vertical="center" textRotation="90"/>
      <protection locked="0"/>
    </xf>
    <xf numFmtId="9" fontId="67" fillId="17" borderId="68" xfId="0" applyNumberFormat="1" applyFont="1" applyFill="1" applyBorder="1" applyAlignment="1" applyProtection="1">
      <alignment vertical="center"/>
      <protection hidden="1"/>
    </xf>
    <xf numFmtId="164" fontId="67" fillId="0" borderId="2" xfId="1" applyNumberFormat="1" applyFont="1" applyBorder="1" applyAlignment="1">
      <alignment vertical="center"/>
    </xf>
    <xf numFmtId="0" fontId="68" fillId="17" borderId="2" xfId="0" applyFont="1" applyFill="1" applyBorder="1" applyAlignment="1" applyProtection="1">
      <alignment vertical="center" textRotation="90" wrapText="1"/>
      <protection hidden="1"/>
    </xf>
    <xf numFmtId="9" fontId="67" fillId="17" borderId="3" xfId="0" applyNumberFormat="1" applyFont="1" applyFill="1" applyBorder="1" applyAlignment="1" applyProtection="1">
      <alignment vertical="center"/>
      <protection hidden="1"/>
    </xf>
    <xf numFmtId="0" fontId="68" fillId="17" borderId="2" xfId="0" applyFont="1" applyFill="1" applyBorder="1" applyAlignment="1" applyProtection="1">
      <alignment vertical="center" textRotation="90"/>
      <protection hidden="1"/>
    </xf>
    <xf numFmtId="0" fontId="67" fillId="3" borderId="23" xfId="0" applyFont="1" applyFill="1" applyBorder="1" applyAlignment="1">
      <alignment vertical="center" wrapText="1"/>
    </xf>
    <xf numFmtId="0" fontId="67" fillId="17" borderId="2" xfId="0" applyFont="1" applyFill="1" applyBorder="1" applyAlignment="1" applyProtection="1">
      <alignment vertical="center"/>
      <protection hidden="1"/>
    </xf>
    <xf numFmtId="0" fontId="33" fillId="17" borderId="23" xfId="0" applyFont="1" applyFill="1" applyBorder="1" applyAlignment="1" applyProtection="1">
      <alignment vertical="center"/>
      <protection hidden="1"/>
    </xf>
    <xf numFmtId="9" fontId="33" fillId="17" borderId="23" xfId="0" applyNumberFormat="1" applyFont="1" applyFill="1" applyBorder="1" applyAlignment="1" applyProtection="1">
      <alignment vertical="center"/>
      <protection hidden="1"/>
    </xf>
    <xf numFmtId="0" fontId="4" fillId="0" borderId="2" xfId="0" applyFont="1" applyBorder="1" applyAlignment="1" applyProtection="1">
      <alignment vertical="center" wrapText="1"/>
      <protection locked="0"/>
    </xf>
    <xf numFmtId="0" fontId="0" fillId="0" borderId="23" xfId="0" applyFont="1" applyBorder="1" applyAlignment="1" applyProtection="1">
      <alignment vertical="center" wrapText="1"/>
      <protection locked="0"/>
    </xf>
    <xf numFmtId="9" fontId="0" fillId="17" borderId="23" xfId="0" applyNumberFormat="1" applyFont="1" applyFill="1" applyBorder="1" applyAlignment="1" applyProtection="1">
      <alignment vertical="top"/>
      <protection hidden="1"/>
    </xf>
    <xf numFmtId="0" fontId="13" fillId="0" borderId="23" xfId="0" applyFont="1" applyBorder="1" applyAlignment="1" applyProtection="1">
      <alignment vertical="center" wrapText="1"/>
      <protection locked="0"/>
    </xf>
    <xf numFmtId="0" fontId="64" fillId="17" borderId="23" xfId="0" applyFont="1" applyFill="1" applyBorder="1" applyAlignment="1" applyProtection="1">
      <alignment textRotation="90" wrapText="1"/>
      <protection hidden="1"/>
    </xf>
    <xf numFmtId="9" fontId="13" fillId="17" borderId="23" xfId="0" applyNumberFormat="1" applyFont="1" applyFill="1" applyBorder="1" applyAlignment="1" applyProtection="1">
      <alignment vertical="top"/>
      <protection hidden="1"/>
    </xf>
    <xf numFmtId="0" fontId="64" fillId="17" borderId="23" xfId="0" applyFont="1" applyFill="1" applyBorder="1" applyAlignment="1" applyProtection="1">
      <alignment vertical="center" textRotation="90" wrapText="1"/>
      <protection hidden="1"/>
    </xf>
    <xf numFmtId="0" fontId="64" fillId="17" borderId="23" xfId="0" applyFont="1" applyFill="1" applyBorder="1" applyAlignment="1" applyProtection="1">
      <alignment vertical="center" textRotation="90"/>
      <protection hidden="1"/>
    </xf>
    <xf numFmtId="0" fontId="4" fillId="0" borderId="23" xfId="0" applyFont="1" applyBorder="1" applyAlignment="1" applyProtection="1">
      <alignment vertical="center" wrapText="1"/>
      <protection locked="0"/>
    </xf>
    <xf numFmtId="0" fontId="59" fillId="17" borderId="23" xfId="0" applyFont="1" applyFill="1" applyBorder="1" applyAlignment="1" applyProtection="1">
      <alignment vertical="top" textRotation="90" wrapText="1"/>
      <protection hidden="1"/>
    </xf>
    <xf numFmtId="0" fontId="59" fillId="17" borderId="23" xfId="0" applyFont="1" applyFill="1" applyBorder="1" applyAlignment="1" applyProtection="1">
      <alignment vertical="top" textRotation="90"/>
      <protection hidden="1"/>
    </xf>
    <xf numFmtId="0" fontId="33" fillId="17" borderId="2" xfId="0" applyFont="1" applyFill="1" applyBorder="1" applyAlignment="1" applyProtection="1">
      <alignment vertical="center"/>
      <protection hidden="1"/>
    </xf>
    <xf numFmtId="9" fontId="33" fillId="17" borderId="2" xfId="0" applyNumberFormat="1" applyFont="1" applyFill="1" applyBorder="1" applyAlignment="1" applyProtection="1">
      <alignment vertical="center"/>
      <protection hidden="1"/>
    </xf>
    <xf numFmtId="14" fontId="67" fillId="0" borderId="103" xfId="0" applyNumberFormat="1" applyFont="1" applyBorder="1" applyAlignment="1" applyProtection="1">
      <alignment horizontal="center" vertical="center"/>
      <protection locked="0"/>
    </xf>
    <xf numFmtId="0" fontId="67" fillId="3" borderId="30" xfId="0" applyFont="1" applyFill="1" applyBorder="1" applyAlignment="1">
      <alignment vertical="center" wrapText="1"/>
    </xf>
    <xf numFmtId="0" fontId="67" fillId="17" borderId="74" xfId="0" applyFont="1" applyFill="1" applyBorder="1" applyAlignment="1" applyProtection="1">
      <alignment vertical="center"/>
      <protection hidden="1"/>
    </xf>
    <xf numFmtId="9" fontId="67" fillId="17" borderId="74" xfId="0" applyNumberFormat="1" applyFont="1" applyFill="1" applyBorder="1" applyAlignment="1" applyProtection="1">
      <alignment vertical="center"/>
      <protection hidden="1"/>
    </xf>
    <xf numFmtId="164" fontId="67" fillId="0" borderId="74" xfId="1" applyNumberFormat="1" applyFont="1" applyBorder="1" applyAlignment="1">
      <alignment vertical="center"/>
    </xf>
    <xf numFmtId="0" fontId="68" fillId="17" borderId="74" xfId="0" applyFont="1" applyFill="1" applyBorder="1" applyAlignment="1" applyProtection="1">
      <alignment vertical="center" textRotation="90" wrapText="1"/>
      <protection hidden="1"/>
    </xf>
    <xf numFmtId="0" fontId="68" fillId="17" borderId="74" xfId="0" applyFont="1" applyFill="1" applyBorder="1" applyAlignment="1" applyProtection="1">
      <alignment vertical="center" textRotation="90"/>
      <protection hidden="1"/>
    </xf>
    <xf numFmtId="0" fontId="0" fillId="3" borderId="30" xfId="0" applyFont="1" applyFill="1" applyBorder="1" applyAlignment="1">
      <alignment vertical="center" wrapText="1"/>
    </xf>
    <xf numFmtId="0" fontId="56" fillId="0" borderId="77" xfId="0" applyFont="1" applyBorder="1" applyAlignment="1" applyProtection="1">
      <alignment horizontal="center" vertical="center"/>
    </xf>
    <xf numFmtId="0" fontId="0" fillId="0" borderId="28" xfId="0" applyFont="1" applyBorder="1" applyAlignment="1" applyProtection="1">
      <alignment horizontal="center" vertical="center"/>
      <protection locked="0"/>
    </xf>
    <xf numFmtId="0" fontId="0" fillId="0" borderId="30" xfId="0" applyFont="1" applyBorder="1" applyAlignment="1" applyProtection="1">
      <alignment horizontal="center" vertical="top"/>
    </xf>
    <xf numFmtId="0" fontId="4" fillId="0" borderId="30" xfId="0" applyFont="1" applyBorder="1" applyAlignment="1" applyProtection="1">
      <alignment vertical="top" wrapText="1"/>
      <protection locked="0"/>
    </xf>
    <xf numFmtId="0" fontId="0" fillId="17" borderId="30" xfId="0" applyFont="1" applyFill="1" applyBorder="1" applyAlignment="1" applyProtection="1">
      <alignment vertical="top"/>
      <protection hidden="1"/>
    </xf>
    <xf numFmtId="9" fontId="0" fillId="17" borderId="30" xfId="0" applyNumberFormat="1" applyFont="1" applyFill="1" applyBorder="1" applyAlignment="1" applyProtection="1">
      <alignment vertical="top"/>
      <protection hidden="1"/>
    </xf>
    <xf numFmtId="0" fontId="59" fillId="17" borderId="30" xfId="0" applyFont="1" applyFill="1" applyBorder="1" applyAlignment="1" applyProtection="1">
      <alignment vertical="top" textRotation="90" wrapText="1"/>
      <protection hidden="1"/>
    </xf>
    <xf numFmtId="0" fontId="59" fillId="17" borderId="30" xfId="0" applyFont="1" applyFill="1" applyBorder="1" applyAlignment="1" applyProtection="1">
      <alignment vertical="top" textRotation="90"/>
      <protection hidden="1"/>
    </xf>
    <xf numFmtId="14" fontId="0" fillId="0" borderId="30" xfId="0" applyNumberFormat="1" applyFont="1" applyBorder="1" applyAlignment="1" applyProtection="1">
      <alignment horizontal="center" vertical="top"/>
      <protection locked="0"/>
    </xf>
    <xf numFmtId="0" fontId="0" fillId="0" borderId="31" xfId="0" applyFont="1" applyBorder="1" applyAlignment="1" applyProtection="1">
      <alignment horizontal="center" vertical="top"/>
      <protection locked="0"/>
    </xf>
    <xf numFmtId="0" fontId="4" fillId="0" borderId="68" xfId="0" applyFont="1" applyBorder="1" applyAlignment="1" applyProtection="1">
      <alignment vertical="center" wrapText="1"/>
      <protection locked="0"/>
    </xf>
    <xf numFmtId="0" fontId="33" fillId="17" borderId="68" xfId="0" applyFont="1" applyFill="1" applyBorder="1" applyAlignment="1" applyProtection="1">
      <alignment vertical="center"/>
      <protection hidden="1"/>
    </xf>
    <xf numFmtId="9" fontId="33" fillId="17" borderId="68" xfId="0" applyNumberFormat="1" applyFont="1" applyFill="1" applyBorder="1" applyAlignment="1" applyProtection="1">
      <alignment vertical="center"/>
      <protection hidden="1"/>
    </xf>
    <xf numFmtId="14" fontId="0" fillId="0" borderId="68" xfId="0" applyNumberFormat="1" applyFont="1" applyBorder="1" applyAlignment="1" applyProtection="1">
      <alignment vertical="top" wrapText="1"/>
      <protection locked="0"/>
    </xf>
    <xf numFmtId="0" fontId="0" fillId="0" borderId="107" xfId="0" applyFont="1" applyBorder="1" applyAlignment="1" applyProtection="1">
      <alignment horizontal="center" vertical="center"/>
      <protection locked="0"/>
    </xf>
    <xf numFmtId="0" fontId="0" fillId="0" borderId="106" xfId="0" applyFont="1" applyBorder="1" applyAlignment="1" applyProtection="1">
      <alignment horizontal="center" vertical="center"/>
      <protection locked="0"/>
    </xf>
    <xf numFmtId="14" fontId="67" fillId="0" borderId="100" xfId="0" applyNumberFormat="1" applyFont="1" applyBorder="1" applyAlignment="1" applyProtection="1">
      <alignment horizontal="center" vertical="center"/>
      <protection locked="0"/>
    </xf>
    <xf numFmtId="14" fontId="67" fillId="0" borderId="108" xfId="0" applyNumberFormat="1" applyFont="1" applyBorder="1" applyAlignment="1" applyProtection="1">
      <alignment horizontal="center" vertical="center"/>
      <protection locked="0"/>
    </xf>
    <xf numFmtId="49" fontId="67" fillId="0" borderId="100" xfId="0" applyNumberFormat="1" applyFont="1" applyBorder="1" applyAlignment="1" applyProtection="1">
      <alignment horizontal="center" vertical="center" wrapText="1"/>
      <protection locked="0"/>
    </xf>
    <xf numFmtId="49" fontId="67" fillId="0" borderId="109" xfId="0" applyNumberFormat="1" applyFont="1" applyBorder="1" applyAlignment="1" applyProtection="1">
      <alignment horizontal="center" vertical="center" wrapText="1"/>
      <protection locked="0"/>
    </xf>
    <xf numFmtId="0" fontId="67" fillId="3" borderId="110" xfId="0" applyFont="1" applyFill="1" applyBorder="1" applyAlignment="1">
      <alignment horizontal="center" vertical="center" wrapText="1"/>
    </xf>
    <xf numFmtId="0" fontId="67" fillId="3" borderId="111" xfId="0" applyFont="1" applyFill="1" applyBorder="1" applyAlignment="1">
      <alignment horizontal="center" vertical="center" wrapText="1"/>
    </xf>
    <xf numFmtId="0" fontId="0" fillId="3" borderId="112" xfId="0" applyFont="1" applyFill="1" applyBorder="1" applyAlignment="1">
      <alignment vertical="center" wrapText="1"/>
    </xf>
    <xf numFmtId="0" fontId="0" fillId="3" borderId="113" xfId="0" applyFont="1" applyFill="1" applyBorder="1" applyAlignment="1">
      <alignment vertical="center" wrapText="1"/>
    </xf>
    <xf numFmtId="0" fontId="66" fillId="0" borderId="114" xfId="0" applyFont="1" applyBorder="1" applyAlignment="1" applyProtection="1">
      <alignment horizontal="center" vertical="center"/>
    </xf>
    <xf numFmtId="0" fontId="67" fillId="17" borderId="115" xfId="0" applyFont="1" applyFill="1" applyBorder="1" applyAlignment="1" applyProtection="1">
      <alignment vertical="center"/>
      <protection hidden="1"/>
    </xf>
    <xf numFmtId="0" fontId="0" fillId="3" borderId="116" xfId="0" applyFont="1" applyFill="1" applyBorder="1" applyAlignment="1">
      <alignment vertical="center" wrapText="1"/>
    </xf>
    <xf numFmtId="0" fontId="67" fillId="3" borderId="14" xfId="0" applyFont="1" applyFill="1" applyBorder="1" applyAlignment="1">
      <alignment horizontal="center" vertical="center" wrapText="1"/>
    </xf>
    <xf numFmtId="14" fontId="67" fillId="0" borderId="118" xfId="0" applyNumberFormat="1" applyFont="1" applyBorder="1" applyAlignment="1" applyProtection="1">
      <alignment horizontal="center" vertical="center"/>
      <protection locked="0"/>
    </xf>
    <xf numFmtId="0" fontId="67" fillId="3" borderId="119" xfId="0" applyFont="1" applyFill="1" applyBorder="1" applyAlignment="1">
      <alignment horizontal="center" vertical="center" wrapText="1"/>
    </xf>
    <xf numFmtId="14" fontId="0" fillId="0" borderId="111" xfId="0" applyNumberFormat="1" applyFont="1" applyBorder="1" applyAlignment="1" applyProtection="1">
      <alignment horizontal="center" vertical="center"/>
      <protection locked="0"/>
    </xf>
    <xf numFmtId="0" fontId="33" fillId="17" borderId="79" xfId="0" applyFont="1" applyFill="1" applyBorder="1" applyAlignment="1" applyProtection="1">
      <alignment vertical="center"/>
      <protection hidden="1"/>
    </xf>
    <xf numFmtId="0" fontId="4" fillId="0" borderId="116" xfId="0" applyFont="1" applyBorder="1" applyAlignment="1" applyProtection="1">
      <alignment vertical="center" wrapText="1"/>
      <protection locked="0"/>
    </xf>
    <xf numFmtId="0" fontId="33" fillId="17" borderId="120" xfId="0" applyFont="1" applyFill="1" applyBorder="1" applyAlignment="1" applyProtection="1">
      <alignment vertical="center"/>
      <protection hidden="1"/>
    </xf>
    <xf numFmtId="0" fontId="0" fillId="3" borderId="105" xfId="0" applyFont="1" applyFill="1" applyBorder="1" applyAlignment="1">
      <alignment vertical="center" wrapText="1"/>
    </xf>
    <xf numFmtId="14" fontId="67" fillId="0" borderId="121" xfId="0" applyNumberFormat="1" applyFont="1" applyBorder="1" applyAlignment="1" applyProtection="1">
      <alignment horizontal="center" vertical="center"/>
      <protection locked="0"/>
    </xf>
    <xf numFmtId="14" fontId="67" fillId="0" borderId="119" xfId="0" applyNumberFormat="1" applyFont="1" applyBorder="1" applyAlignment="1" applyProtection="1">
      <alignment horizontal="center" vertical="center"/>
      <protection locked="0"/>
    </xf>
    <xf numFmtId="14" fontId="0" fillId="0" borderId="112" xfId="0" applyNumberFormat="1" applyFont="1" applyBorder="1" applyAlignment="1" applyProtection="1">
      <alignment horizontal="center" vertical="top"/>
      <protection locked="0"/>
    </xf>
    <xf numFmtId="14" fontId="0" fillId="0" borderId="113" xfId="0" applyNumberFormat="1" applyFont="1" applyBorder="1" applyAlignment="1" applyProtection="1">
      <alignment horizontal="center" vertical="top"/>
      <protection locked="0"/>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56" fillId="7" borderId="27" xfId="0" applyFont="1" applyFill="1" applyBorder="1" applyAlignment="1">
      <alignment horizontal="center" vertical="center"/>
    </xf>
    <xf numFmtId="0" fontId="56" fillId="7" borderId="23" xfId="0" applyFont="1" applyFill="1" applyBorder="1" applyAlignment="1">
      <alignment horizontal="center" vertical="center"/>
    </xf>
    <xf numFmtId="0" fontId="57" fillId="16" borderId="23" xfId="0" applyFont="1" applyFill="1" applyBorder="1" applyAlignment="1">
      <alignment horizontal="center" vertical="center" wrapText="1"/>
    </xf>
    <xf numFmtId="0" fontId="57" fillId="16" borderId="65" xfId="0" applyFont="1" applyFill="1" applyBorder="1" applyAlignment="1">
      <alignment horizontal="center" vertical="center" wrapText="1"/>
    </xf>
    <xf numFmtId="0" fontId="57" fillId="16" borderId="28" xfId="0" applyFont="1" applyFill="1" applyBorder="1" applyAlignment="1">
      <alignment horizontal="center" vertical="center" wrapText="1"/>
    </xf>
    <xf numFmtId="0" fontId="57" fillId="16" borderId="86" xfId="0" applyFont="1" applyFill="1" applyBorder="1" applyAlignment="1">
      <alignment horizontal="center" vertical="center" wrapText="1"/>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57" fillId="16" borderId="104" xfId="0" applyFont="1" applyFill="1" applyBorder="1" applyAlignment="1">
      <alignment horizontal="center" vertical="center" wrapText="1"/>
    </xf>
    <xf numFmtId="0" fontId="57" fillId="16" borderId="65" xfId="0" applyFont="1" applyFill="1" applyBorder="1" applyAlignment="1">
      <alignment horizontal="center" vertical="center"/>
    </xf>
    <xf numFmtId="0" fontId="57" fillId="16" borderId="104" xfId="0" applyFont="1" applyFill="1" applyBorder="1" applyAlignment="1">
      <alignment horizontal="center" vertical="center"/>
    </xf>
    <xf numFmtId="0" fontId="56" fillId="7" borderId="81" xfId="0" applyFont="1" applyFill="1" applyBorder="1" applyAlignment="1">
      <alignment horizontal="center" vertical="center"/>
    </xf>
    <xf numFmtId="0" fontId="56" fillId="7" borderId="80" xfId="0" applyFont="1" applyFill="1" applyBorder="1" applyAlignment="1">
      <alignment horizontal="center" vertical="center"/>
    </xf>
    <xf numFmtId="0" fontId="56" fillId="7" borderId="79" xfId="0" applyFont="1" applyFill="1" applyBorder="1" applyAlignment="1">
      <alignment horizontal="center" vertical="center"/>
    </xf>
    <xf numFmtId="0" fontId="69" fillId="0" borderId="88" xfId="0" applyFont="1" applyBorder="1" applyAlignment="1" applyProtection="1">
      <alignment horizontal="center" vertical="center"/>
      <protection locked="0"/>
    </xf>
    <xf numFmtId="0" fontId="69" fillId="0" borderId="89" xfId="0" applyFont="1" applyBorder="1" applyAlignment="1" applyProtection="1">
      <alignment horizontal="center" vertical="center"/>
      <protection locked="0"/>
    </xf>
    <xf numFmtId="0" fontId="69" fillId="0" borderId="90" xfId="0" applyFont="1" applyBorder="1" applyAlignment="1" applyProtection="1">
      <alignment horizontal="center" vertical="center"/>
      <protection locked="0"/>
    </xf>
    <xf numFmtId="0" fontId="68" fillId="17" borderId="67" xfId="0" applyFont="1" applyFill="1" applyBorder="1" applyAlignment="1" applyProtection="1">
      <alignment horizontal="center" vertical="center" wrapText="1"/>
      <protection hidden="1"/>
    </xf>
    <xf numFmtId="0" fontId="68" fillId="17" borderId="5" xfId="0" applyFont="1" applyFill="1" applyBorder="1" applyAlignment="1" applyProtection="1">
      <alignment horizontal="center" vertical="center" wrapText="1"/>
      <protection hidden="1"/>
    </xf>
    <xf numFmtId="0" fontId="68" fillId="17" borderId="73" xfId="0" applyFont="1" applyFill="1" applyBorder="1" applyAlignment="1" applyProtection="1">
      <alignment horizontal="center" vertical="center" wrapText="1"/>
      <protection hidden="1"/>
    </xf>
    <xf numFmtId="0" fontId="68" fillId="17" borderId="67" xfId="0" applyFont="1" applyFill="1" applyBorder="1" applyAlignment="1" applyProtection="1">
      <alignment horizontal="center" vertical="center"/>
      <protection hidden="1"/>
    </xf>
    <xf numFmtId="0" fontId="68" fillId="17" borderId="5" xfId="0" applyFont="1" applyFill="1" applyBorder="1" applyAlignment="1" applyProtection="1">
      <alignment horizontal="center" vertical="center"/>
      <protection hidden="1"/>
    </xf>
    <xf numFmtId="0" fontId="68" fillId="17" borderId="73" xfId="0" applyFont="1" applyFill="1" applyBorder="1" applyAlignment="1" applyProtection="1">
      <alignment horizontal="center" vertical="center"/>
      <protection hidden="1"/>
    </xf>
    <xf numFmtId="9" fontId="67" fillId="17" borderId="67" xfId="0" applyNumberFormat="1" applyFont="1" applyFill="1" applyBorder="1" applyAlignment="1" applyProtection="1">
      <alignment horizontal="center" vertical="center" wrapText="1"/>
      <protection hidden="1"/>
    </xf>
    <xf numFmtId="9" fontId="67" fillId="17" borderId="5" xfId="0" applyNumberFormat="1" applyFont="1" applyFill="1" applyBorder="1" applyAlignment="1" applyProtection="1">
      <alignment horizontal="center" vertical="center" wrapText="1"/>
      <protection hidden="1"/>
    </xf>
    <xf numFmtId="9" fontId="67" fillId="17" borderId="73" xfId="0" applyNumberFormat="1" applyFont="1" applyFill="1" applyBorder="1" applyAlignment="1" applyProtection="1">
      <alignment horizontal="center" vertical="center" wrapText="1"/>
      <protection hidden="1"/>
    </xf>
    <xf numFmtId="9" fontId="67" fillId="0" borderId="67" xfId="0" applyNumberFormat="1" applyFont="1" applyBorder="1" applyAlignment="1" applyProtection="1">
      <alignment horizontal="center" vertical="center" wrapText="1"/>
      <protection locked="0"/>
    </xf>
    <xf numFmtId="9" fontId="67" fillId="0" borderId="5" xfId="0" applyNumberFormat="1" applyFont="1" applyBorder="1" applyAlignment="1" applyProtection="1">
      <alignment horizontal="center" vertical="center" wrapText="1"/>
      <protection locked="0"/>
    </xf>
    <xf numFmtId="9" fontId="67" fillId="0" borderId="73" xfId="0" applyNumberFormat="1" applyFont="1" applyBorder="1" applyAlignment="1" applyProtection="1">
      <alignment horizontal="center" vertical="center" wrapText="1"/>
      <protection locked="0"/>
    </xf>
    <xf numFmtId="9" fontId="67" fillId="0" borderId="67" xfId="0" applyNumberFormat="1" applyFont="1" applyBorder="1" applyAlignment="1" applyProtection="1">
      <alignment horizontal="center" vertical="center" wrapText="1"/>
      <protection hidden="1"/>
    </xf>
    <xf numFmtId="9" fontId="67" fillId="0" borderId="5" xfId="0" applyNumberFormat="1" applyFont="1" applyBorder="1" applyAlignment="1" applyProtection="1">
      <alignment horizontal="center" vertical="center" wrapText="1"/>
      <protection hidden="1"/>
    </xf>
    <xf numFmtId="9" fontId="67" fillId="0" borderId="73" xfId="0" applyNumberFormat="1" applyFont="1" applyBorder="1" applyAlignment="1" applyProtection="1">
      <alignment horizontal="center" vertical="center" wrapText="1"/>
      <protection hidden="1"/>
    </xf>
    <xf numFmtId="0" fontId="66" fillId="0" borderId="66" xfId="0" applyFont="1" applyBorder="1" applyAlignment="1" applyProtection="1">
      <alignment horizontal="center" vertical="center"/>
    </xf>
    <xf numFmtId="0" fontId="66" fillId="0" borderId="70" xfId="0" applyFont="1" applyBorder="1" applyAlignment="1" applyProtection="1">
      <alignment horizontal="center" vertical="center"/>
    </xf>
    <xf numFmtId="0" fontId="66" fillId="0" borderId="72" xfId="0" applyFont="1" applyBorder="1" applyAlignment="1" applyProtection="1">
      <alignment horizontal="center" vertical="center"/>
    </xf>
    <xf numFmtId="0" fontId="69" fillId="0" borderId="67" xfId="0" applyFont="1" applyBorder="1" applyAlignment="1" applyProtection="1">
      <alignment horizontal="center" vertical="center" wrapText="1"/>
      <protection locked="0"/>
    </xf>
    <xf numFmtId="0" fontId="69" fillId="0" borderId="5" xfId="0" applyFont="1" applyBorder="1" applyAlignment="1" applyProtection="1">
      <alignment horizontal="center" vertical="center" wrapText="1"/>
      <protection locked="0"/>
    </xf>
    <xf numFmtId="0" fontId="69" fillId="0" borderId="73" xfId="0" applyFont="1" applyBorder="1" applyAlignment="1" applyProtection="1">
      <alignment horizontal="center" vertical="center" wrapText="1"/>
      <protection locked="0"/>
    </xf>
    <xf numFmtId="0" fontId="57" fillId="16" borderId="23" xfId="0" applyFont="1" applyFill="1" applyBorder="1" applyAlignment="1">
      <alignment horizontal="center" vertical="center"/>
    </xf>
    <xf numFmtId="0" fontId="70" fillId="7" borderId="67" xfId="0" applyFont="1" applyFill="1" applyBorder="1" applyAlignment="1" applyProtection="1">
      <alignment horizontal="center" vertical="center" wrapText="1"/>
      <protection locked="0"/>
    </xf>
    <xf numFmtId="0" fontId="71" fillId="7" borderId="5" xfId="0" applyFont="1" applyFill="1" applyBorder="1" applyAlignment="1" applyProtection="1">
      <alignment horizontal="center" vertical="center" wrapText="1"/>
      <protection locked="0"/>
    </xf>
    <xf numFmtId="0" fontId="71" fillId="7" borderId="73" xfId="0" applyFont="1" applyFill="1" applyBorder="1" applyAlignment="1" applyProtection="1">
      <alignment horizontal="center" vertical="center" wrapText="1"/>
      <protection locked="0"/>
    </xf>
    <xf numFmtId="0" fontId="69" fillId="0" borderId="91" xfId="0" applyFont="1" applyBorder="1" applyAlignment="1" applyProtection="1">
      <alignment horizontal="center" vertical="center" wrapText="1"/>
      <protection locked="0"/>
    </xf>
    <xf numFmtId="0" fontId="69" fillId="0" borderId="92" xfId="0" applyFont="1" applyBorder="1" applyAlignment="1" applyProtection="1">
      <alignment horizontal="center" vertical="center" wrapText="1"/>
      <protection locked="0"/>
    </xf>
    <xf numFmtId="0" fontId="69" fillId="0" borderId="93" xfId="0" applyFont="1" applyBorder="1" applyAlignment="1" applyProtection="1">
      <alignment horizontal="center" vertical="center" wrapText="1"/>
      <protection locked="0"/>
    </xf>
    <xf numFmtId="0" fontId="57" fillId="16" borderId="27" xfId="0" applyFont="1" applyFill="1" applyBorder="1" applyAlignment="1">
      <alignment horizontal="center" vertical="center" textRotation="90"/>
    </xf>
    <xf numFmtId="0" fontId="57" fillId="16" borderId="85" xfId="0" applyFont="1" applyFill="1" applyBorder="1" applyAlignment="1">
      <alignment horizontal="center" vertical="center" textRotation="90"/>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14" fillId="3" borderId="81" xfId="0" applyFont="1" applyFill="1" applyBorder="1" applyAlignment="1" applyProtection="1">
      <alignment horizontal="left" vertical="center" wrapText="1"/>
      <protection locked="0"/>
    </xf>
    <xf numFmtId="0" fontId="14" fillId="3" borderId="80"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14" fillId="3" borderId="65" xfId="0" applyFont="1" applyFill="1" applyBorder="1" applyAlignment="1" applyProtection="1">
      <alignment horizontal="left" vertical="center" wrapText="1"/>
      <protection locked="0"/>
    </xf>
    <xf numFmtId="0" fontId="40" fillId="7" borderId="85" xfId="0" applyFont="1" applyFill="1" applyBorder="1" applyAlignment="1">
      <alignment horizontal="left" vertical="center"/>
    </xf>
    <xf numFmtId="0" fontId="40" fillId="7" borderId="65" xfId="0" applyFont="1" applyFill="1" applyBorder="1" applyAlignment="1">
      <alignment horizontal="left" vertical="center"/>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9" fontId="0" fillId="0" borderId="77" xfId="0" applyNumberFormat="1" applyFont="1" applyBorder="1" applyAlignment="1" applyProtection="1">
      <alignment horizontal="center" vertical="center" wrapText="1"/>
      <protection hidden="1"/>
    </xf>
    <xf numFmtId="9" fontId="0" fillId="0" borderId="23" xfId="0" applyNumberFormat="1" applyFont="1" applyBorder="1" applyAlignment="1" applyProtection="1">
      <alignment horizontal="center" vertical="center" wrapText="1"/>
      <protection hidden="1"/>
    </xf>
    <xf numFmtId="9" fontId="0" fillId="0" borderId="30" xfId="0" applyNumberFormat="1" applyFont="1" applyBorder="1" applyAlignment="1" applyProtection="1">
      <alignment horizontal="center" vertical="center" wrapText="1"/>
      <protection hidden="1"/>
    </xf>
    <xf numFmtId="0" fontId="59" fillId="17" borderId="77" xfId="0" applyFont="1" applyFill="1" applyBorder="1" applyAlignment="1" applyProtection="1">
      <alignment horizontal="center" vertical="center" wrapText="1"/>
      <protection hidden="1"/>
    </xf>
    <xf numFmtId="0" fontId="59" fillId="17" borderId="23" xfId="0" applyFont="1" applyFill="1" applyBorder="1" applyAlignment="1" applyProtection="1">
      <alignment horizontal="center" vertical="center" wrapText="1"/>
      <protection hidden="1"/>
    </xf>
    <xf numFmtId="0" fontId="59" fillId="17" borderId="30" xfId="0" applyFont="1" applyFill="1" applyBorder="1" applyAlignment="1" applyProtection="1">
      <alignment horizontal="center" vertical="center" wrapText="1"/>
      <protection hidden="1"/>
    </xf>
    <xf numFmtId="9" fontId="0" fillId="17" borderId="77" xfId="0" applyNumberFormat="1" applyFont="1" applyFill="1" applyBorder="1" applyAlignment="1" applyProtection="1">
      <alignment horizontal="center" vertical="center" wrapText="1"/>
      <protection hidden="1"/>
    </xf>
    <xf numFmtId="9" fontId="0" fillId="17" borderId="23" xfId="0" applyNumberFormat="1" applyFont="1" applyFill="1" applyBorder="1" applyAlignment="1" applyProtection="1">
      <alignment horizontal="center" vertical="center" wrapText="1"/>
      <protection hidden="1"/>
    </xf>
    <xf numFmtId="9" fontId="0" fillId="17" borderId="30" xfId="0" applyNumberFormat="1" applyFont="1" applyFill="1" applyBorder="1" applyAlignment="1" applyProtection="1">
      <alignment horizontal="center" vertical="center" wrapText="1"/>
      <protection hidden="1"/>
    </xf>
    <xf numFmtId="0" fontId="59" fillId="17" borderId="77" xfId="0" applyFont="1" applyFill="1" applyBorder="1" applyAlignment="1" applyProtection="1">
      <alignment horizontal="center" vertical="center"/>
      <protection hidden="1"/>
    </xf>
    <xf numFmtId="0" fontId="59" fillId="17" borderId="23" xfId="0" applyFont="1" applyFill="1" applyBorder="1" applyAlignment="1" applyProtection="1">
      <alignment horizontal="center" vertical="center"/>
      <protection hidden="1"/>
    </xf>
    <xf numFmtId="0" fontId="59" fillId="17" borderId="30" xfId="0" applyFont="1" applyFill="1" applyBorder="1" applyAlignment="1" applyProtection="1">
      <alignment horizontal="center" vertical="center"/>
      <protection hidden="1"/>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59" fillId="17" borderId="100" xfId="0" applyFont="1" applyFill="1" applyBorder="1" applyAlignment="1" applyProtection="1">
      <alignment horizontal="center" vertical="center" wrapText="1"/>
      <protection hidden="1"/>
    </xf>
    <xf numFmtId="0" fontId="59" fillId="17" borderId="101" xfId="0" applyFont="1" applyFill="1" applyBorder="1" applyAlignment="1" applyProtection="1">
      <alignment horizontal="center" vertical="center" wrapText="1"/>
      <protection hidden="1"/>
    </xf>
    <xf numFmtId="0" fontId="59" fillId="17" borderId="102" xfId="0" applyFont="1" applyFill="1" applyBorder="1" applyAlignment="1" applyProtection="1">
      <alignment horizontal="center" vertical="center" wrapText="1"/>
      <protection hidden="1"/>
    </xf>
    <xf numFmtId="9" fontId="0" fillId="0" borderId="77" xfId="0" applyNumberFormat="1" applyFont="1" applyBorder="1" applyAlignment="1" applyProtection="1">
      <alignment horizontal="center" vertical="center" wrapText="1"/>
      <protection locked="0"/>
    </xf>
    <xf numFmtId="9" fontId="0" fillId="0" borderId="23" xfId="0" applyNumberFormat="1" applyFont="1" applyBorder="1" applyAlignment="1" applyProtection="1">
      <alignment horizontal="center" vertical="center" wrapText="1"/>
      <protection locked="0"/>
    </xf>
    <xf numFmtId="9" fontId="0" fillId="0" borderId="30" xfId="0" applyNumberFormat="1" applyFont="1" applyBorder="1" applyAlignment="1" applyProtection="1">
      <alignment horizontal="center" vertical="center" wrapText="1"/>
      <protection locked="0"/>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0" fontId="56" fillId="0" borderId="94" xfId="0" applyFont="1" applyBorder="1" applyAlignment="1" applyProtection="1">
      <alignment horizontal="center" vertical="center"/>
    </xf>
    <xf numFmtId="0" fontId="56" fillId="0" borderId="95" xfId="0" applyFont="1" applyBorder="1" applyAlignment="1" applyProtection="1">
      <alignment horizontal="center" vertical="center"/>
    </xf>
    <xf numFmtId="0" fontId="56" fillId="0" borderId="96" xfId="0" applyFont="1" applyBorder="1" applyAlignment="1" applyProtection="1">
      <alignment horizontal="center" vertical="center"/>
    </xf>
    <xf numFmtId="0" fontId="56" fillId="0" borderId="7" xfId="0" applyFont="1" applyBorder="1" applyAlignment="1" applyProtection="1">
      <alignment horizontal="center" vertical="center"/>
    </xf>
    <xf numFmtId="0" fontId="56" fillId="0" borderId="9" xfId="0" applyFont="1" applyBorder="1" applyAlignment="1" applyProtection="1">
      <alignment horizontal="center" vertical="center"/>
    </xf>
    <xf numFmtId="0" fontId="56" fillId="0" borderId="11"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70" fillId="7" borderId="5" xfId="0" applyFont="1" applyFill="1" applyBorder="1" applyAlignment="1" applyProtection="1">
      <alignment horizontal="center" vertical="center" wrapText="1"/>
      <protection locked="0"/>
    </xf>
    <xf numFmtId="0" fontId="70" fillId="7" borderId="73" xfId="0" applyFont="1" applyFill="1" applyBorder="1" applyAlignment="1" applyProtection="1">
      <alignment horizontal="center" vertical="center" wrapText="1"/>
      <protection locked="0"/>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33" fillId="0" borderId="73" xfId="0" applyFont="1" applyBorder="1" applyAlignment="1" applyProtection="1">
      <alignment horizontal="center" vertical="center" wrapText="1"/>
      <protection locked="0"/>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0" fillId="0" borderId="84"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0" fontId="23" fillId="0" borderId="0" xfId="0" applyFont="1" applyAlignment="1">
      <alignment horizontal="center" vertical="center" wrapText="1"/>
    </xf>
    <xf numFmtId="0" fontId="18" fillId="5" borderId="9"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8"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0" xfId="0" applyFont="1" applyBorder="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40" fillId="0" borderId="12" xfId="0" applyFont="1" applyBorder="1" applyAlignment="1">
      <alignment horizontal="center" vertical="center"/>
    </xf>
    <xf numFmtId="0" fontId="40" fillId="0" borderId="14" xfId="0" applyFont="1" applyBorder="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67" fillId="0" borderId="100" xfId="0" applyFont="1" applyBorder="1" applyAlignment="1" applyProtection="1">
      <alignment horizontal="center" vertical="center" textRotation="90"/>
      <protection locked="0"/>
    </xf>
    <xf numFmtId="0" fontId="67" fillId="3" borderId="68" xfId="0" applyFont="1" applyFill="1" applyBorder="1" applyAlignment="1" applyProtection="1">
      <alignment horizontal="center" vertical="center" textRotation="90"/>
      <protection locked="0"/>
    </xf>
    <xf numFmtId="0" fontId="72" fillId="17" borderId="117" xfId="0" applyFont="1" applyFill="1" applyBorder="1" applyAlignment="1" applyProtection="1">
      <alignment horizontal="center" vertical="center"/>
      <protection hidden="1"/>
    </xf>
    <xf numFmtId="0" fontId="67" fillId="0" borderId="68" xfId="0" applyFont="1" applyBorder="1" applyAlignment="1" applyProtection="1">
      <alignment horizontal="center" vertical="center" textRotation="90"/>
      <protection locked="0"/>
    </xf>
    <xf numFmtId="164" fontId="67" fillId="0" borderId="68" xfId="1" applyNumberFormat="1" applyFont="1" applyBorder="1" applyAlignment="1">
      <alignment horizontal="center" vertical="center"/>
    </xf>
    <xf numFmtId="0" fontId="68" fillId="17" borderId="68" xfId="0" applyFont="1" applyFill="1" applyBorder="1" applyAlignment="1" applyProtection="1">
      <alignment horizontal="center" vertical="center" textRotation="90" wrapText="1"/>
      <protection hidden="1"/>
    </xf>
    <xf numFmtId="9" fontId="67" fillId="17" borderId="67" xfId="0" applyNumberFormat="1" applyFont="1" applyFill="1" applyBorder="1" applyAlignment="1" applyProtection="1">
      <alignment horizontal="center" vertical="center"/>
      <protection hidden="1"/>
    </xf>
    <xf numFmtId="164" fontId="67" fillId="0" borderId="2" xfId="1" applyNumberFormat="1" applyFont="1" applyBorder="1" applyAlignment="1">
      <alignment horizontal="center" vertical="center"/>
    </xf>
    <xf numFmtId="0" fontId="68" fillId="17" borderId="2" xfId="0" applyFont="1" applyFill="1" applyBorder="1" applyAlignment="1" applyProtection="1">
      <alignment horizontal="center" vertical="center" textRotation="90" wrapText="1"/>
      <protection hidden="1"/>
    </xf>
    <xf numFmtId="9" fontId="67" fillId="17" borderId="3" xfId="0" applyNumberFormat="1" applyFont="1" applyFill="1" applyBorder="1" applyAlignment="1" applyProtection="1">
      <alignment horizontal="center" vertical="center"/>
      <protection hidden="1"/>
    </xf>
    <xf numFmtId="0" fontId="68" fillId="17" borderId="68" xfId="0" applyFont="1" applyFill="1" applyBorder="1" applyAlignment="1" applyProtection="1">
      <alignment horizontal="center" vertical="center" textRotation="90"/>
      <protection hidden="1"/>
    </xf>
    <xf numFmtId="0" fontId="68" fillId="17" borderId="2" xfId="0" applyFont="1" applyFill="1" applyBorder="1" applyAlignment="1" applyProtection="1">
      <alignment horizontal="center" vertical="center" textRotation="90"/>
      <protection hidden="1"/>
    </xf>
    <xf numFmtId="9" fontId="72" fillId="17" borderId="2" xfId="0" applyNumberFormat="1" applyFont="1" applyFill="1" applyBorder="1" applyAlignment="1" applyProtection="1">
      <alignment horizontal="center" vertical="center"/>
      <protection hidden="1"/>
    </xf>
    <xf numFmtId="9" fontId="67" fillId="17" borderId="2" xfId="0" applyNumberFormat="1" applyFont="1" applyFill="1" applyBorder="1" applyAlignment="1" applyProtection="1">
      <alignment horizontal="center" vertical="center"/>
      <protection hidden="1"/>
    </xf>
    <xf numFmtId="9" fontId="67" fillId="17" borderId="74" xfId="0" applyNumberFormat="1" applyFont="1" applyFill="1" applyBorder="1" applyAlignment="1" applyProtection="1">
      <alignment horizontal="center" vertical="center"/>
      <protection hidden="1"/>
    </xf>
    <xf numFmtId="9" fontId="33" fillId="17" borderId="77" xfId="0" applyNumberFormat="1" applyFont="1" applyFill="1" applyBorder="1" applyAlignment="1" applyProtection="1">
      <alignment horizontal="center" vertical="center"/>
      <protection hidden="1"/>
    </xf>
    <xf numFmtId="9" fontId="33" fillId="17" borderId="23" xfId="0" applyNumberFormat="1" applyFont="1" applyFill="1" applyBorder="1" applyAlignment="1" applyProtection="1">
      <alignment horizontal="center" vertical="center"/>
      <protection hidden="1"/>
    </xf>
    <xf numFmtId="164" fontId="0" fillId="0" borderId="77" xfId="1" applyNumberFormat="1" applyFont="1" applyBorder="1" applyAlignment="1">
      <alignment horizontal="center" vertical="center"/>
    </xf>
    <xf numFmtId="0" fontId="59" fillId="17" borderId="77" xfId="0" applyFont="1" applyFill="1" applyBorder="1" applyAlignment="1" applyProtection="1">
      <alignment horizontal="center" vertical="center" textRotation="90" wrapText="1"/>
      <protection hidden="1"/>
    </xf>
    <xf numFmtId="9" fontId="0" fillId="17" borderId="77" xfId="0" applyNumberFormat="1" applyFont="1" applyFill="1" applyBorder="1" applyAlignment="1" applyProtection="1">
      <alignment horizontal="center" vertical="center"/>
      <protection hidden="1"/>
    </xf>
    <xf numFmtId="0" fontId="59" fillId="17" borderId="77" xfId="0" applyFont="1" applyFill="1" applyBorder="1" applyAlignment="1" applyProtection="1">
      <alignment horizontal="center" vertical="center" textRotation="90"/>
      <protection hidden="1"/>
    </xf>
    <xf numFmtId="164" fontId="0" fillId="3" borderId="23" xfId="1" applyNumberFormat="1" applyFont="1" applyFill="1" applyBorder="1" applyAlignment="1">
      <alignment horizontal="center" vertical="center"/>
    </xf>
    <xf numFmtId="0" fontId="59" fillId="17" borderId="23" xfId="0" applyFont="1" applyFill="1" applyBorder="1" applyAlignment="1" applyProtection="1">
      <alignment horizontal="center" vertical="center" textRotation="90" wrapText="1"/>
      <protection hidden="1"/>
    </xf>
    <xf numFmtId="9" fontId="0" fillId="17" borderId="23" xfId="0" applyNumberFormat="1" applyFont="1" applyFill="1" applyBorder="1" applyAlignment="1" applyProtection="1">
      <alignment horizontal="center" vertical="center"/>
      <protection hidden="1"/>
    </xf>
    <xf numFmtId="0" fontId="59" fillId="17" borderId="23" xfId="0" applyFont="1" applyFill="1" applyBorder="1" applyAlignment="1" applyProtection="1">
      <alignment horizontal="center" vertical="center" textRotation="90"/>
      <protection hidden="1"/>
    </xf>
    <xf numFmtId="164" fontId="0" fillId="0" borderId="23" xfId="1" applyNumberFormat="1" applyFont="1" applyBorder="1" applyAlignment="1">
      <alignment horizontal="center" vertical="center"/>
    </xf>
    <xf numFmtId="164" fontId="13" fillId="0" borderId="23" xfId="1" applyNumberFormat="1" applyFont="1" applyBorder="1" applyAlignment="1">
      <alignment horizontal="center" vertical="center"/>
    </xf>
    <xf numFmtId="164" fontId="0" fillId="0" borderId="23" xfId="1" applyNumberFormat="1" applyFont="1" applyBorder="1" applyAlignment="1">
      <alignment horizontal="center" vertical="top"/>
    </xf>
    <xf numFmtId="164" fontId="0" fillId="0" borderId="30" xfId="1" applyNumberFormat="1" applyFont="1" applyBorder="1" applyAlignment="1">
      <alignment horizontal="center" vertical="top"/>
    </xf>
    <xf numFmtId="164" fontId="0" fillId="3" borderId="2" xfId="1" applyNumberFormat="1" applyFont="1" applyFill="1" applyBorder="1" applyAlignment="1">
      <alignment horizontal="center" vertical="center"/>
    </xf>
    <xf numFmtId="14" fontId="0" fillId="0" borderId="2" xfId="0" applyNumberFormat="1" applyFont="1" applyBorder="1" applyAlignment="1" applyProtection="1">
      <alignment horizontal="left" vertical="center" wrapText="1"/>
      <protection locked="0"/>
    </xf>
  </cellXfs>
  <cellStyles count="5">
    <cellStyle name="Normal" xfId="0" builtinId="0"/>
    <cellStyle name="Normal - Style1 2" xfId="2"/>
    <cellStyle name="Normal 2" xfId="4"/>
    <cellStyle name="Normal 2 2" xfId="3"/>
    <cellStyle name="Porcentaje" xfId="1" builtinId="5"/>
  </cellStyles>
  <dxfs count="246">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208643</xdr:colOff>
      <xdr:row>0</xdr:row>
      <xdr:rowOff>63500</xdr:rowOff>
    </xdr:from>
    <xdr:to>
      <xdr:col>2</xdr:col>
      <xdr:colOff>1244842</xdr:colOff>
      <xdr:row>1</xdr:row>
      <xdr:rowOff>725714</xdr:rowOff>
    </xdr:to>
    <xdr:pic>
      <xdr:nvPicPr>
        <xdr:cNvPr id="2" name="Imagen 1">
          <a:extLst>
            <a:ext uri="{FF2B5EF4-FFF2-40B4-BE49-F238E27FC236}">
              <a16:creationId xmlns:a16="http://schemas.microsoft.com/office/drawing/2014/main" id="{C3AD2E9C-90CD-4F7F-AC3C-01C45841EAF9}"/>
            </a:ext>
          </a:extLst>
        </xdr:cNvPr>
        <xdr:cNvPicPr>
          <a:picLocks noChangeAspect="1"/>
        </xdr:cNvPicPr>
      </xdr:nvPicPr>
      <xdr:blipFill>
        <a:blip xmlns:r="http://schemas.openxmlformats.org/officeDocument/2006/relationships" r:embed="rId1"/>
        <a:stretch>
          <a:fillRect/>
        </a:stretch>
      </xdr:blipFill>
      <xdr:spPr>
        <a:xfrm>
          <a:off x="208643" y="63500"/>
          <a:ext cx="2560199" cy="109764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245" dataDxfId="244">
  <autoFilter ref="B209:C219"/>
  <tableColumns count="2">
    <tableColumn id="1" name="Criterios" dataDxfId="243"/>
    <tableColumn id="2" name="Subcriterios" dataDxfId="242"/>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H45"/>
  <sheetViews>
    <sheetView topLeftCell="B21"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331" t="s">
        <v>161</v>
      </c>
      <c r="C2" s="332"/>
      <c r="D2" s="332"/>
      <c r="E2" s="332"/>
      <c r="F2" s="332"/>
      <c r="G2" s="332"/>
      <c r="H2" s="333"/>
    </row>
    <row r="3" spans="2:8" x14ac:dyDescent="0.35">
      <c r="B3" s="71"/>
      <c r="C3" s="72"/>
      <c r="D3" s="72"/>
      <c r="E3" s="72"/>
      <c r="F3" s="72"/>
      <c r="G3" s="72"/>
      <c r="H3" s="73"/>
    </row>
    <row r="4" spans="2:8" ht="63" customHeight="1" x14ac:dyDescent="0.35">
      <c r="B4" s="334" t="s">
        <v>204</v>
      </c>
      <c r="C4" s="335"/>
      <c r="D4" s="335"/>
      <c r="E4" s="335"/>
      <c r="F4" s="335"/>
      <c r="G4" s="335"/>
      <c r="H4" s="336"/>
    </row>
    <row r="5" spans="2:8" ht="63" customHeight="1" x14ac:dyDescent="0.35">
      <c r="B5" s="337"/>
      <c r="C5" s="338"/>
      <c r="D5" s="338"/>
      <c r="E5" s="338"/>
      <c r="F5" s="338"/>
      <c r="G5" s="338"/>
      <c r="H5" s="339"/>
    </row>
    <row r="6" spans="2:8" x14ac:dyDescent="0.35">
      <c r="B6" s="340" t="s">
        <v>159</v>
      </c>
      <c r="C6" s="341"/>
      <c r="D6" s="341"/>
      <c r="E6" s="341"/>
      <c r="F6" s="341"/>
      <c r="G6" s="341"/>
      <c r="H6" s="342"/>
    </row>
    <row r="7" spans="2:8" ht="95.25" customHeight="1" x14ac:dyDescent="0.35">
      <c r="B7" s="350" t="s">
        <v>164</v>
      </c>
      <c r="C7" s="351"/>
      <c r="D7" s="351"/>
      <c r="E7" s="351"/>
      <c r="F7" s="351"/>
      <c r="G7" s="351"/>
      <c r="H7" s="352"/>
    </row>
    <row r="8" spans="2:8" x14ac:dyDescent="0.35">
      <c r="B8" s="108"/>
      <c r="C8" s="109"/>
      <c r="D8" s="109"/>
      <c r="E8" s="109"/>
      <c r="F8" s="109"/>
      <c r="G8" s="109"/>
      <c r="H8" s="110"/>
    </row>
    <row r="9" spans="2:8" ht="16.5" customHeight="1" x14ac:dyDescent="0.35">
      <c r="B9" s="343" t="s">
        <v>197</v>
      </c>
      <c r="C9" s="344"/>
      <c r="D9" s="344"/>
      <c r="E9" s="344"/>
      <c r="F9" s="344"/>
      <c r="G9" s="344"/>
      <c r="H9" s="345"/>
    </row>
    <row r="10" spans="2:8" ht="44.25" customHeight="1" x14ac:dyDescent="0.35">
      <c r="B10" s="343"/>
      <c r="C10" s="344"/>
      <c r="D10" s="344"/>
      <c r="E10" s="344"/>
      <c r="F10" s="344"/>
      <c r="G10" s="344"/>
      <c r="H10" s="345"/>
    </row>
    <row r="11" spans="2:8" ht="15" thickBot="1" x14ac:dyDescent="0.4">
      <c r="B11" s="96"/>
      <c r="C11" s="99"/>
      <c r="D11" s="104"/>
      <c r="E11" s="105"/>
      <c r="F11" s="105"/>
      <c r="G11" s="106"/>
      <c r="H11" s="107"/>
    </row>
    <row r="12" spans="2:8" ht="15" thickTop="1" x14ac:dyDescent="0.35">
      <c r="B12" s="96"/>
      <c r="C12" s="346" t="s">
        <v>160</v>
      </c>
      <c r="D12" s="347"/>
      <c r="E12" s="348" t="s">
        <v>198</v>
      </c>
      <c r="F12" s="349"/>
      <c r="G12" s="99"/>
      <c r="H12" s="100"/>
    </row>
    <row r="13" spans="2:8" ht="35.25" customHeight="1" x14ac:dyDescent="0.35">
      <c r="B13" s="96"/>
      <c r="C13" s="353" t="s">
        <v>191</v>
      </c>
      <c r="D13" s="354"/>
      <c r="E13" s="355" t="s">
        <v>196</v>
      </c>
      <c r="F13" s="356"/>
      <c r="G13" s="99"/>
      <c r="H13" s="100"/>
    </row>
    <row r="14" spans="2:8" ht="17.25" customHeight="1" x14ac:dyDescent="0.35">
      <c r="B14" s="96"/>
      <c r="C14" s="353" t="s">
        <v>192</v>
      </c>
      <c r="D14" s="354"/>
      <c r="E14" s="355" t="s">
        <v>194</v>
      </c>
      <c r="F14" s="356"/>
      <c r="G14" s="99"/>
      <c r="H14" s="100"/>
    </row>
    <row r="15" spans="2:8" ht="19.5" customHeight="1" x14ac:dyDescent="0.35">
      <c r="B15" s="96"/>
      <c r="C15" s="353" t="s">
        <v>193</v>
      </c>
      <c r="D15" s="354"/>
      <c r="E15" s="355" t="s">
        <v>195</v>
      </c>
      <c r="F15" s="356"/>
      <c r="G15" s="99"/>
      <c r="H15" s="100"/>
    </row>
    <row r="16" spans="2:8" ht="69.75" customHeight="1" x14ac:dyDescent="0.35">
      <c r="B16" s="96"/>
      <c r="C16" s="353" t="s">
        <v>162</v>
      </c>
      <c r="D16" s="354"/>
      <c r="E16" s="355" t="s">
        <v>163</v>
      </c>
      <c r="F16" s="356"/>
      <c r="G16" s="99"/>
      <c r="H16" s="100"/>
    </row>
    <row r="17" spans="2:8" ht="34.5" customHeight="1" x14ac:dyDescent="0.35">
      <c r="B17" s="96"/>
      <c r="C17" s="357" t="s">
        <v>2</v>
      </c>
      <c r="D17" s="358"/>
      <c r="E17" s="359" t="s">
        <v>205</v>
      </c>
      <c r="F17" s="360"/>
      <c r="G17" s="99"/>
      <c r="H17" s="100"/>
    </row>
    <row r="18" spans="2:8" ht="27.75" customHeight="1" x14ac:dyDescent="0.35">
      <c r="B18" s="96"/>
      <c r="C18" s="357" t="s">
        <v>3</v>
      </c>
      <c r="D18" s="358"/>
      <c r="E18" s="359" t="s">
        <v>206</v>
      </c>
      <c r="F18" s="360"/>
      <c r="G18" s="99"/>
      <c r="H18" s="100"/>
    </row>
    <row r="19" spans="2:8" ht="28.5" customHeight="1" x14ac:dyDescent="0.35">
      <c r="B19" s="96"/>
      <c r="C19" s="357" t="s">
        <v>39</v>
      </c>
      <c r="D19" s="358"/>
      <c r="E19" s="359" t="s">
        <v>207</v>
      </c>
      <c r="F19" s="360"/>
      <c r="G19" s="99"/>
      <c r="H19" s="100"/>
    </row>
    <row r="20" spans="2:8" ht="72.75" customHeight="1" x14ac:dyDescent="0.35">
      <c r="B20" s="96"/>
      <c r="C20" s="357" t="s">
        <v>1</v>
      </c>
      <c r="D20" s="358"/>
      <c r="E20" s="359" t="s">
        <v>208</v>
      </c>
      <c r="F20" s="360"/>
      <c r="G20" s="99"/>
      <c r="H20" s="100"/>
    </row>
    <row r="21" spans="2:8" ht="64.5" customHeight="1" x14ac:dyDescent="0.35">
      <c r="B21" s="96"/>
      <c r="C21" s="357" t="s">
        <v>47</v>
      </c>
      <c r="D21" s="358"/>
      <c r="E21" s="359" t="s">
        <v>166</v>
      </c>
      <c r="F21" s="360"/>
      <c r="G21" s="99"/>
      <c r="H21" s="100"/>
    </row>
    <row r="22" spans="2:8" ht="71.25" customHeight="1" x14ac:dyDescent="0.35">
      <c r="B22" s="96"/>
      <c r="C22" s="357" t="s">
        <v>165</v>
      </c>
      <c r="D22" s="358"/>
      <c r="E22" s="359" t="s">
        <v>167</v>
      </c>
      <c r="F22" s="360"/>
      <c r="G22" s="99" t="s">
        <v>209</v>
      </c>
      <c r="H22" s="100"/>
    </row>
    <row r="23" spans="2:8" ht="55.5" customHeight="1" x14ac:dyDescent="0.35">
      <c r="B23" s="96"/>
      <c r="C23" s="364" t="s">
        <v>168</v>
      </c>
      <c r="D23" s="365"/>
      <c r="E23" s="359" t="s">
        <v>169</v>
      </c>
      <c r="F23" s="360"/>
      <c r="G23" s="99"/>
      <c r="H23" s="100"/>
    </row>
    <row r="24" spans="2:8" ht="42" customHeight="1" x14ac:dyDescent="0.35">
      <c r="B24" s="96"/>
      <c r="C24" s="364" t="s">
        <v>45</v>
      </c>
      <c r="D24" s="365"/>
      <c r="E24" s="359" t="s">
        <v>170</v>
      </c>
      <c r="F24" s="360"/>
      <c r="G24" s="99"/>
      <c r="H24" s="100"/>
    </row>
    <row r="25" spans="2:8" ht="73.5" customHeight="1" x14ac:dyDescent="0.35">
      <c r="B25" s="96"/>
      <c r="C25" s="364" t="s">
        <v>158</v>
      </c>
      <c r="D25" s="365"/>
      <c r="E25" s="359" t="s">
        <v>171</v>
      </c>
      <c r="F25" s="360"/>
      <c r="G25" s="329" t="s">
        <v>210</v>
      </c>
      <c r="H25" s="330"/>
    </row>
    <row r="26" spans="2:8" ht="23.25" customHeight="1" x14ac:dyDescent="0.35">
      <c r="B26" s="96"/>
      <c r="C26" s="364" t="s">
        <v>12</v>
      </c>
      <c r="D26" s="365"/>
      <c r="E26" s="359" t="s">
        <v>172</v>
      </c>
      <c r="F26" s="360"/>
      <c r="G26" s="99"/>
      <c r="H26" s="100"/>
    </row>
    <row r="27" spans="2:8" ht="30.75" customHeight="1" x14ac:dyDescent="0.35">
      <c r="B27" s="96"/>
      <c r="C27" s="364" t="s">
        <v>176</v>
      </c>
      <c r="D27" s="365"/>
      <c r="E27" s="359" t="s">
        <v>173</v>
      </c>
      <c r="F27" s="360"/>
      <c r="G27" s="99"/>
      <c r="H27" s="100"/>
    </row>
    <row r="28" spans="2:8" ht="35.25" customHeight="1" x14ac:dyDescent="0.35">
      <c r="B28" s="96"/>
      <c r="C28" s="364" t="s">
        <v>177</v>
      </c>
      <c r="D28" s="365"/>
      <c r="E28" s="359" t="s">
        <v>174</v>
      </c>
      <c r="F28" s="360"/>
      <c r="G28" s="99"/>
      <c r="H28" s="100"/>
    </row>
    <row r="29" spans="2:8" ht="33" customHeight="1" x14ac:dyDescent="0.35">
      <c r="B29" s="96"/>
      <c r="C29" s="364" t="s">
        <v>177</v>
      </c>
      <c r="D29" s="365"/>
      <c r="E29" s="359" t="s">
        <v>174</v>
      </c>
      <c r="F29" s="360"/>
      <c r="G29" s="99"/>
      <c r="H29" s="100"/>
    </row>
    <row r="30" spans="2:8" ht="30" customHeight="1" x14ac:dyDescent="0.35">
      <c r="B30" s="96"/>
      <c r="C30" s="364" t="s">
        <v>178</v>
      </c>
      <c r="D30" s="365"/>
      <c r="E30" s="359" t="s">
        <v>175</v>
      </c>
      <c r="F30" s="360"/>
      <c r="G30" s="99"/>
      <c r="H30" s="100"/>
    </row>
    <row r="31" spans="2:8" ht="35.25" customHeight="1" x14ac:dyDescent="0.35">
      <c r="B31" s="96"/>
      <c r="C31" s="364" t="s">
        <v>179</v>
      </c>
      <c r="D31" s="365"/>
      <c r="E31" s="359" t="s">
        <v>180</v>
      </c>
      <c r="F31" s="360"/>
      <c r="G31" s="99"/>
      <c r="H31" s="100"/>
    </row>
    <row r="32" spans="2:8" ht="31.5" customHeight="1" x14ac:dyDescent="0.35">
      <c r="B32" s="96"/>
      <c r="C32" s="364" t="s">
        <v>181</v>
      </c>
      <c r="D32" s="365"/>
      <c r="E32" s="359" t="s">
        <v>182</v>
      </c>
      <c r="F32" s="360"/>
      <c r="G32" s="99"/>
      <c r="H32" s="100"/>
    </row>
    <row r="33" spans="2:8" ht="35.25" customHeight="1" x14ac:dyDescent="0.35">
      <c r="B33" s="96"/>
      <c r="C33" s="364" t="s">
        <v>183</v>
      </c>
      <c r="D33" s="365"/>
      <c r="E33" s="359" t="s">
        <v>184</v>
      </c>
      <c r="F33" s="360"/>
      <c r="G33" s="99"/>
      <c r="H33" s="100"/>
    </row>
    <row r="34" spans="2:8" ht="59.25" customHeight="1" x14ac:dyDescent="0.35">
      <c r="B34" s="96"/>
      <c r="C34" s="364" t="s">
        <v>185</v>
      </c>
      <c r="D34" s="365"/>
      <c r="E34" s="359" t="s">
        <v>186</v>
      </c>
      <c r="F34" s="360"/>
      <c r="G34" s="99"/>
      <c r="H34" s="100"/>
    </row>
    <row r="35" spans="2:8" ht="29.25" customHeight="1" x14ac:dyDescent="0.35">
      <c r="B35" s="96"/>
      <c r="C35" s="364" t="s">
        <v>29</v>
      </c>
      <c r="D35" s="365"/>
      <c r="E35" s="359" t="s">
        <v>187</v>
      </c>
      <c r="F35" s="360"/>
      <c r="G35" s="99"/>
      <c r="H35" s="100"/>
    </row>
    <row r="36" spans="2:8" ht="82.5" customHeight="1" x14ac:dyDescent="0.35">
      <c r="B36" s="96"/>
      <c r="C36" s="364" t="s">
        <v>189</v>
      </c>
      <c r="D36" s="365"/>
      <c r="E36" s="359" t="s">
        <v>188</v>
      </c>
      <c r="F36" s="360"/>
      <c r="G36" s="99"/>
      <c r="H36" s="100"/>
    </row>
    <row r="37" spans="2:8" ht="46.5" customHeight="1" x14ac:dyDescent="0.35">
      <c r="B37" s="96"/>
      <c r="C37" s="364" t="s">
        <v>36</v>
      </c>
      <c r="D37" s="365"/>
      <c r="E37" s="359" t="s">
        <v>190</v>
      </c>
      <c r="F37" s="360"/>
      <c r="G37" s="99"/>
      <c r="H37" s="100"/>
    </row>
    <row r="38" spans="2:8" ht="6.75" customHeight="1" thickBot="1" x14ac:dyDescent="0.4">
      <c r="B38" s="96"/>
      <c r="C38" s="366"/>
      <c r="D38" s="367"/>
      <c r="E38" s="368"/>
      <c r="F38" s="369"/>
      <c r="G38" s="99"/>
      <c r="H38" s="100"/>
    </row>
    <row r="39" spans="2:8" ht="15" thickTop="1" x14ac:dyDescent="0.35">
      <c r="B39" s="96"/>
      <c r="C39" s="97"/>
      <c r="D39" s="97"/>
      <c r="E39" s="98"/>
      <c r="F39" s="98"/>
      <c r="G39" s="99"/>
      <c r="H39" s="100"/>
    </row>
    <row r="40" spans="2:8" ht="21" customHeight="1" x14ac:dyDescent="0.35">
      <c r="B40" s="361" t="s">
        <v>199</v>
      </c>
      <c r="C40" s="362"/>
      <c r="D40" s="362"/>
      <c r="E40" s="362"/>
      <c r="F40" s="362"/>
      <c r="G40" s="362"/>
      <c r="H40" s="363"/>
    </row>
    <row r="41" spans="2:8" ht="20.25" customHeight="1" x14ac:dyDescent="0.35">
      <c r="B41" s="361" t="s">
        <v>200</v>
      </c>
      <c r="C41" s="362"/>
      <c r="D41" s="362"/>
      <c r="E41" s="362"/>
      <c r="F41" s="362"/>
      <c r="G41" s="362"/>
      <c r="H41" s="363"/>
    </row>
    <row r="42" spans="2:8" ht="20.25" customHeight="1" x14ac:dyDescent="0.35">
      <c r="B42" s="361" t="s">
        <v>201</v>
      </c>
      <c r="C42" s="362"/>
      <c r="D42" s="362"/>
      <c r="E42" s="362"/>
      <c r="F42" s="362"/>
      <c r="G42" s="362"/>
      <c r="H42" s="363"/>
    </row>
    <row r="43" spans="2:8" ht="20.25" customHeight="1" x14ac:dyDescent="0.35">
      <c r="B43" s="361" t="s">
        <v>202</v>
      </c>
      <c r="C43" s="362"/>
      <c r="D43" s="362"/>
      <c r="E43" s="362"/>
      <c r="F43" s="362"/>
      <c r="G43" s="362"/>
      <c r="H43" s="363"/>
    </row>
    <row r="44" spans="2:8" x14ac:dyDescent="0.35">
      <c r="B44" s="361" t="s">
        <v>203</v>
      </c>
      <c r="C44" s="362"/>
      <c r="D44" s="362"/>
      <c r="E44" s="362"/>
      <c r="F44" s="362"/>
      <c r="G44" s="362"/>
      <c r="H44" s="363"/>
    </row>
    <row r="45" spans="2:8" ht="15" thickBot="1" x14ac:dyDescent="0.4">
      <c r="B45" s="101"/>
      <c r="C45" s="102"/>
      <c r="D45" s="102"/>
      <c r="E45" s="102"/>
      <c r="F45" s="102"/>
      <c r="G45" s="102"/>
      <c r="H45" s="103"/>
    </row>
  </sheetData>
  <mergeCells count="65">
    <mergeCell ref="C14:D14"/>
    <mergeCell ref="E14:F14"/>
    <mergeCell ref="C15:D15"/>
    <mergeCell ref="E15:F15"/>
    <mergeCell ref="E22:F22"/>
    <mergeCell ref="C22:D22"/>
    <mergeCell ref="E18:F18"/>
    <mergeCell ref="E19:F19"/>
    <mergeCell ref="E20:F20"/>
    <mergeCell ref="E21:F21"/>
    <mergeCell ref="E37:F37"/>
    <mergeCell ref="E28:F28"/>
    <mergeCell ref="C28:D28"/>
    <mergeCell ref="C16:D16"/>
    <mergeCell ref="E16:F16"/>
    <mergeCell ref="C25:D25"/>
    <mergeCell ref="E25:F25"/>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BO72"/>
  <sheetViews>
    <sheetView tabSelected="1" view="pageBreakPreview" topLeftCell="A16" zoomScale="70" zoomScaleNormal="70" zoomScaleSheetLayoutView="70" workbookViewId="0">
      <selection activeCell="K22" sqref="K22:K27"/>
    </sheetView>
  </sheetViews>
  <sheetFormatPr baseColWidth="10" defaultColWidth="11.453125" defaultRowHeight="14.5" x14ac:dyDescent="0.35"/>
  <cols>
    <col min="1" max="1" width="4" style="239" bestFit="1" customWidth="1"/>
    <col min="2" max="2" width="17.7265625" style="239" customWidth="1"/>
    <col min="3" max="3" width="22.7265625" style="239" customWidth="1"/>
    <col min="4" max="4" width="34.1796875" style="239" customWidth="1"/>
    <col min="5" max="5" width="32.453125" style="138" customWidth="1"/>
    <col min="6" max="6" width="17.1796875" style="240" customWidth="1"/>
    <col min="7" max="7" width="17.81640625" style="138" customWidth="1"/>
    <col min="8" max="8" width="18.1796875" style="138" customWidth="1"/>
    <col min="9" max="9" width="6.26953125" style="138" customWidth="1"/>
    <col min="10" max="10" width="27.26953125" style="138" customWidth="1"/>
    <col min="11" max="11" width="30.54296875" style="138" customWidth="1"/>
    <col min="12" max="12" width="17.54296875" style="138" customWidth="1"/>
    <col min="13" max="13" width="6.26953125" style="138" customWidth="1"/>
    <col min="14" max="14" width="16" style="138" customWidth="1"/>
    <col min="15" max="15" width="5.81640625" style="138" customWidth="1"/>
    <col min="16" max="16" width="38.54296875" style="138" customWidth="1"/>
    <col min="17" max="17" width="15.1796875" style="138" customWidth="1"/>
    <col min="18" max="18" width="6.81640625" style="138" customWidth="1"/>
    <col min="19" max="19" width="5" style="138" customWidth="1"/>
    <col min="20" max="20" width="5.54296875" style="138" customWidth="1"/>
    <col min="21" max="21" width="7.1796875" style="138" customWidth="1"/>
    <col min="22" max="22" width="6.7265625" style="138" customWidth="1"/>
    <col min="23" max="23" width="7.54296875" style="138" customWidth="1"/>
    <col min="24" max="24" width="10.26953125" style="138" customWidth="1"/>
    <col min="25" max="25" width="8.7265625" style="138" customWidth="1"/>
    <col min="26" max="26" width="5.81640625" style="138" customWidth="1"/>
    <col min="27" max="27" width="9.26953125" style="138" customWidth="1"/>
    <col min="28" max="28" width="7" style="138" customWidth="1"/>
    <col min="29" max="29" width="8.453125" style="138" customWidth="1"/>
    <col min="30" max="30" width="10.08984375" style="138" customWidth="1"/>
    <col min="31" max="31" width="32.26953125" style="138" customWidth="1"/>
    <col min="32" max="32" width="18.6328125" style="138" customWidth="1"/>
    <col min="33" max="33" width="21.6328125" style="138" customWidth="1"/>
    <col min="34" max="34" width="16.1796875" style="138" customWidth="1"/>
    <col min="35" max="35" width="15.54296875" style="138" customWidth="1"/>
    <col min="36" max="16384" width="11.453125" style="138"/>
  </cols>
  <sheetData>
    <row r="1" spans="1:67" ht="34.5" customHeight="1" x14ac:dyDescent="0.35">
      <c r="A1" s="417"/>
      <c r="B1" s="418"/>
      <c r="C1" s="419"/>
      <c r="D1" s="417" t="s">
        <v>220</v>
      </c>
      <c r="E1" s="418"/>
      <c r="F1" s="418"/>
      <c r="G1" s="418"/>
      <c r="H1" s="418"/>
      <c r="I1" s="418"/>
      <c r="J1" s="418"/>
      <c r="K1" s="418"/>
      <c r="L1" s="418"/>
      <c r="M1" s="418"/>
      <c r="N1" s="418"/>
      <c r="O1" s="210"/>
      <c r="P1" s="210"/>
      <c r="Q1" s="210"/>
      <c r="R1" s="210"/>
      <c r="S1" s="210"/>
      <c r="T1" s="210"/>
      <c r="U1" s="210"/>
      <c r="V1" s="210"/>
      <c r="W1" s="210"/>
      <c r="X1" s="210"/>
      <c r="Y1" s="210"/>
      <c r="Z1" s="210"/>
      <c r="AA1" s="210"/>
      <c r="AB1" s="210"/>
      <c r="AC1" s="210"/>
      <c r="AD1" s="210"/>
      <c r="AE1" s="210"/>
      <c r="AF1" s="210"/>
      <c r="AG1" s="210"/>
      <c r="AH1" s="210"/>
      <c r="AI1" s="211"/>
      <c r="AJ1" s="137"/>
      <c r="AK1" s="137"/>
      <c r="AL1" s="137"/>
      <c r="AM1" s="137"/>
      <c r="AN1" s="137"/>
      <c r="AO1" s="137"/>
      <c r="AP1" s="137"/>
      <c r="AQ1" s="137"/>
      <c r="AR1" s="137"/>
      <c r="AS1" s="137"/>
      <c r="AT1" s="137"/>
      <c r="AU1" s="137"/>
      <c r="AV1" s="137"/>
      <c r="AW1" s="137"/>
      <c r="AX1" s="137"/>
      <c r="AY1" s="137"/>
      <c r="AZ1" s="137"/>
      <c r="BA1" s="137"/>
      <c r="BB1" s="137"/>
      <c r="BC1" s="137"/>
      <c r="BD1" s="137"/>
      <c r="BE1" s="137"/>
      <c r="BF1" s="137"/>
      <c r="BG1" s="137"/>
      <c r="BH1" s="137"/>
      <c r="BI1" s="137"/>
      <c r="BJ1" s="137"/>
      <c r="BK1" s="137"/>
      <c r="BL1" s="137"/>
      <c r="BM1" s="137"/>
      <c r="BN1" s="137"/>
      <c r="BO1" s="137"/>
    </row>
    <row r="2" spans="1:67" ht="59.25" customHeight="1" thickBot="1" x14ac:dyDescent="0.4">
      <c r="A2" s="420"/>
      <c r="B2" s="421"/>
      <c r="C2" s="422"/>
      <c r="D2" s="420"/>
      <c r="E2" s="421"/>
      <c r="F2" s="421"/>
      <c r="G2" s="421"/>
      <c r="H2" s="421"/>
      <c r="I2" s="421"/>
      <c r="J2" s="421"/>
      <c r="K2" s="421"/>
      <c r="L2" s="421"/>
      <c r="M2" s="421"/>
      <c r="N2" s="421"/>
      <c r="O2" s="212"/>
      <c r="P2" s="212"/>
      <c r="Q2" s="212"/>
      <c r="R2" s="212"/>
      <c r="S2" s="212"/>
      <c r="T2" s="212"/>
      <c r="U2" s="212"/>
      <c r="V2" s="212"/>
      <c r="W2" s="212"/>
      <c r="X2" s="212"/>
      <c r="Y2" s="212"/>
      <c r="Z2" s="212"/>
      <c r="AA2" s="212"/>
      <c r="AB2" s="212"/>
      <c r="AC2" s="212"/>
      <c r="AD2" s="212"/>
      <c r="AE2" s="212"/>
      <c r="AF2" s="212"/>
      <c r="AG2" s="212"/>
      <c r="AH2" s="212"/>
      <c r="AI2" s="213"/>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row>
    <row r="3" spans="1:67" x14ac:dyDescent="0.35">
      <c r="A3" s="220"/>
      <c r="B3" s="221"/>
      <c r="C3" s="222"/>
      <c r="D3" s="222"/>
      <c r="E3" s="223"/>
      <c r="F3" s="224"/>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5"/>
      <c r="AJ3" s="137"/>
      <c r="AK3" s="137"/>
      <c r="AL3" s="137"/>
      <c r="AM3" s="137"/>
      <c r="AN3" s="137"/>
      <c r="AO3" s="137"/>
      <c r="AP3" s="137"/>
      <c r="AQ3" s="137"/>
      <c r="AR3" s="137"/>
      <c r="AS3" s="137"/>
      <c r="AT3" s="137"/>
      <c r="AU3" s="137"/>
      <c r="AV3" s="137"/>
      <c r="AW3" s="137"/>
      <c r="AX3" s="137"/>
      <c r="AY3" s="137"/>
      <c r="AZ3" s="137"/>
      <c r="BA3" s="137"/>
      <c r="BB3" s="137"/>
      <c r="BC3" s="137"/>
      <c r="BD3" s="137"/>
      <c r="BE3" s="137"/>
      <c r="BF3" s="137"/>
      <c r="BG3" s="137"/>
      <c r="BH3" s="137"/>
      <c r="BI3" s="137"/>
      <c r="BJ3" s="137"/>
      <c r="BK3" s="137"/>
      <c r="BL3" s="137"/>
      <c r="BM3" s="137"/>
      <c r="BN3" s="137"/>
      <c r="BO3" s="137"/>
    </row>
    <row r="4" spans="1:67" ht="35.25" customHeight="1" x14ac:dyDescent="0.35">
      <c r="A4" s="423" t="s">
        <v>40</v>
      </c>
      <c r="B4" s="424"/>
      <c r="C4" s="431" t="s">
        <v>214</v>
      </c>
      <c r="D4" s="431"/>
      <c r="E4" s="431"/>
      <c r="F4" s="431"/>
      <c r="G4" s="431"/>
      <c r="H4" s="431"/>
      <c r="I4" s="431"/>
      <c r="J4" s="431"/>
      <c r="K4" s="431"/>
      <c r="L4" s="431"/>
      <c r="M4" s="431"/>
      <c r="N4" s="431"/>
      <c r="O4" s="432"/>
      <c r="P4" s="432"/>
      <c r="Q4" s="432"/>
      <c r="R4" s="223"/>
      <c r="S4" s="223"/>
      <c r="T4" s="223"/>
      <c r="U4" s="223"/>
      <c r="V4" s="223"/>
      <c r="W4" s="223"/>
      <c r="X4" s="223"/>
      <c r="Y4" s="223"/>
      <c r="Z4" s="223"/>
      <c r="AA4" s="223"/>
      <c r="AB4" s="223"/>
      <c r="AC4" s="223"/>
      <c r="AD4" s="223"/>
      <c r="AE4" s="223"/>
      <c r="AF4" s="223"/>
      <c r="AG4" s="223"/>
      <c r="AH4" s="223"/>
      <c r="AI4" s="225"/>
      <c r="AJ4" s="137"/>
      <c r="AK4" s="137"/>
      <c r="AL4" s="137"/>
      <c r="AM4" s="137"/>
      <c r="AN4" s="137"/>
      <c r="AO4" s="137"/>
      <c r="AP4" s="137"/>
      <c r="AQ4" s="137"/>
      <c r="AR4" s="137"/>
      <c r="AS4" s="137"/>
      <c r="AT4" s="137"/>
      <c r="AU4" s="137"/>
      <c r="AV4" s="137"/>
      <c r="AW4" s="137"/>
      <c r="AX4" s="137"/>
      <c r="AY4" s="137"/>
      <c r="AZ4" s="137"/>
      <c r="BA4" s="137"/>
      <c r="BB4" s="137"/>
      <c r="BC4" s="137"/>
      <c r="BD4" s="137"/>
      <c r="BE4" s="137"/>
      <c r="BF4" s="137"/>
      <c r="BG4" s="137"/>
      <c r="BH4" s="137"/>
      <c r="BI4" s="137"/>
      <c r="BJ4" s="137"/>
      <c r="BK4" s="137"/>
      <c r="BL4" s="137"/>
      <c r="BM4" s="137"/>
      <c r="BN4" s="137"/>
      <c r="BO4" s="137"/>
    </row>
    <row r="5" spans="1:67" ht="67.5" customHeight="1" x14ac:dyDescent="0.35">
      <c r="A5" s="423" t="s">
        <v>127</v>
      </c>
      <c r="B5" s="424"/>
      <c r="C5" s="425" t="s">
        <v>215</v>
      </c>
      <c r="D5" s="426"/>
      <c r="E5" s="426"/>
      <c r="F5" s="426"/>
      <c r="G5" s="426"/>
      <c r="H5" s="426"/>
      <c r="I5" s="426"/>
      <c r="J5" s="426"/>
      <c r="K5" s="426"/>
      <c r="L5" s="426"/>
      <c r="M5" s="426"/>
      <c r="N5" s="427"/>
      <c r="O5" s="223"/>
      <c r="P5" s="223"/>
      <c r="Q5" s="223"/>
      <c r="R5" s="223"/>
      <c r="S5" s="223"/>
      <c r="T5" s="223"/>
      <c r="U5" s="223"/>
      <c r="V5" s="223"/>
      <c r="W5" s="223"/>
      <c r="X5" s="223"/>
      <c r="Y5" s="223"/>
      <c r="Z5" s="223"/>
      <c r="AA5" s="223"/>
      <c r="AB5" s="223"/>
      <c r="AC5" s="223"/>
      <c r="AD5" s="223"/>
      <c r="AE5" s="223"/>
      <c r="AF5" s="223"/>
      <c r="AG5" s="223"/>
      <c r="AH5" s="223"/>
      <c r="AI5" s="225"/>
      <c r="AJ5" s="137"/>
      <c r="AK5" s="137"/>
      <c r="AL5" s="137"/>
      <c r="AM5" s="137"/>
      <c r="AN5" s="137"/>
      <c r="AO5" s="137"/>
      <c r="AP5" s="137"/>
      <c r="AQ5" s="137"/>
      <c r="AR5" s="137"/>
      <c r="AS5" s="137"/>
      <c r="AT5" s="137"/>
      <c r="AU5" s="137"/>
      <c r="AV5" s="137"/>
      <c r="AW5" s="137"/>
      <c r="AX5" s="137"/>
      <c r="AY5" s="137"/>
      <c r="AZ5" s="137"/>
      <c r="BA5" s="137"/>
      <c r="BB5" s="137"/>
      <c r="BC5" s="137"/>
      <c r="BD5" s="137"/>
      <c r="BE5" s="137"/>
      <c r="BF5" s="137"/>
      <c r="BG5" s="137"/>
      <c r="BH5" s="137"/>
      <c r="BI5" s="137"/>
      <c r="BJ5" s="137"/>
      <c r="BK5" s="137"/>
      <c r="BL5" s="137"/>
      <c r="BM5" s="137"/>
      <c r="BN5" s="137"/>
      <c r="BO5" s="137"/>
    </row>
    <row r="6" spans="1:67" ht="57" customHeight="1" x14ac:dyDescent="0.35">
      <c r="A6" s="429" t="s">
        <v>41</v>
      </c>
      <c r="B6" s="430"/>
      <c r="C6" s="428" t="s">
        <v>216</v>
      </c>
      <c r="D6" s="428"/>
      <c r="E6" s="428"/>
      <c r="F6" s="428"/>
      <c r="G6" s="428"/>
      <c r="H6" s="428"/>
      <c r="I6" s="428"/>
      <c r="J6" s="428"/>
      <c r="K6" s="428"/>
      <c r="L6" s="428"/>
      <c r="M6" s="428"/>
      <c r="N6" s="428"/>
      <c r="O6" s="223"/>
      <c r="P6" s="223"/>
      <c r="Q6" s="223"/>
      <c r="R6" s="223"/>
      <c r="S6" s="223"/>
      <c r="T6" s="223"/>
      <c r="U6" s="223"/>
      <c r="V6" s="223"/>
      <c r="W6" s="223"/>
      <c r="X6" s="223"/>
      <c r="Y6" s="223"/>
      <c r="Z6" s="223"/>
      <c r="AA6" s="223"/>
      <c r="AB6" s="223"/>
      <c r="AC6" s="223"/>
      <c r="AD6" s="223"/>
      <c r="AE6" s="223"/>
      <c r="AF6" s="223"/>
      <c r="AG6" s="223"/>
      <c r="AH6" s="223"/>
      <c r="AI6" s="225"/>
      <c r="AJ6" s="137"/>
      <c r="AK6" s="137"/>
      <c r="AL6" s="137"/>
      <c r="AM6" s="137"/>
      <c r="AN6" s="137"/>
      <c r="AO6" s="137"/>
      <c r="AP6" s="137"/>
      <c r="AQ6" s="137"/>
      <c r="AR6" s="137"/>
      <c r="AS6" s="137"/>
      <c r="AT6" s="137"/>
      <c r="AU6" s="137"/>
      <c r="AV6" s="137"/>
      <c r="AW6" s="137"/>
      <c r="AX6" s="137"/>
      <c r="AY6" s="137"/>
      <c r="AZ6" s="137"/>
      <c r="BA6" s="137"/>
      <c r="BB6" s="137"/>
      <c r="BC6" s="137"/>
      <c r="BD6" s="137"/>
      <c r="BE6" s="137"/>
      <c r="BF6" s="137"/>
      <c r="BG6" s="137"/>
      <c r="BH6" s="137"/>
      <c r="BI6" s="137"/>
      <c r="BJ6" s="137"/>
      <c r="BK6" s="137"/>
      <c r="BL6" s="137"/>
      <c r="BM6" s="137"/>
      <c r="BN6" s="137"/>
      <c r="BO6" s="137"/>
    </row>
    <row r="7" spans="1:67" ht="21" x14ac:dyDescent="0.35">
      <c r="A7" s="370" t="s">
        <v>135</v>
      </c>
      <c r="B7" s="371"/>
      <c r="C7" s="371"/>
      <c r="D7" s="371"/>
      <c r="E7" s="371"/>
      <c r="F7" s="371"/>
      <c r="G7" s="371"/>
      <c r="H7" s="371" t="s">
        <v>136</v>
      </c>
      <c r="I7" s="371"/>
      <c r="J7" s="371"/>
      <c r="K7" s="371"/>
      <c r="L7" s="371"/>
      <c r="M7" s="371"/>
      <c r="N7" s="371"/>
      <c r="O7" s="371" t="s">
        <v>137</v>
      </c>
      <c r="P7" s="371"/>
      <c r="Q7" s="371"/>
      <c r="R7" s="371"/>
      <c r="S7" s="371"/>
      <c r="T7" s="371"/>
      <c r="U7" s="371"/>
      <c r="V7" s="371"/>
      <c r="W7" s="371"/>
      <c r="X7" s="371" t="s">
        <v>138</v>
      </c>
      <c r="Y7" s="371"/>
      <c r="Z7" s="371"/>
      <c r="AA7" s="371"/>
      <c r="AB7" s="371"/>
      <c r="AC7" s="371"/>
      <c r="AD7" s="371"/>
      <c r="AE7" s="381" t="s">
        <v>34</v>
      </c>
      <c r="AF7" s="382"/>
      <c r="AG7" s="382"/>
      <c r="AH7" s="383"/>
      <c r="AI7" s="253"/>
      <c r="AJ7" s="137"/>
      <c r="AK7" s="137"/>
      <c r="AL7" s="137"/>
      <c r="AM7" s="137"/>
      <c r="AN7" s="137"/>
      <c r="AO7" s="137"/>
      <c r="AP7" s="137"/>
      <c r="AQ7" s="137"/>
      <c r="AR7" s="137"/>
      <c r="AS7" s="137"/>
      <c r="AT7" s="137"/>
      <c r="AU7" s="137"/>
      <c r="AV7" s="137"/>
      <c r="AW7" s="137"/>
      <c r="AX7" s="137"/>
      <c r="AY7" s="137"/>
      <c r="AZ7" s="137"/>
      <c r="BA7" s="137"/>
      <c r="BB7" s="137"/>
      <c r="BC7" s="137"/>
      <c r="BD7" s="137"/>
      <c r="BE7" s="137"/>
      <c r="BF7" s="137"/>
      <c r="BG7" s="137"/>
      <c r="BH7" s="137"/>
      <c r="BI7" s="137"/>
      <c r="BJ7" s="137"/>
      <c r="BK7" s="137"/>
      <c r="BL7" s="137"/>
      <c r="BM7" s="137"/>
      <c r="BN7" s="137"/>
      <c r="BO7" s="137"/>
    </row>
    <row r="8" spans="1:67" ht="16.5" customHeight="1" x14ac:dyDescent="0.35">
      <c r="A8" s="415" t="s">
        <v>0</v>
      </c>
      <c r="B8" s="408" t="s">
        <v>2</v>
      </c>
      <c r="C8" s="372" t="s">
        <v>3</v>
      </c>
      <c r="D8" s="372" t="s">
        <v>39</v>
      </c>
      <c r="E8" s="408" t="s">
        <v>1</v>
      </c>
      <c r="F8" s="372" t="s">
        <v>47</v>
      </c>
      <c r="G8" s="372" t="s">
        <v>131</v>
      </c>
      <c r="H8" s="372" t="s">
        <v>33</v>
      </c>
      <c r="I8" s="408" t="s">
        <v>5</v>
      </c>
      <c r="J8" s="372" t="s">
        <v>84</v>
      </c>
      <c r="K8" s="372" t="s">
        <v>89</v>
      </c>
      <c r="L8" s="372" t="s">
        <v>42</v>
      </c>
      <c r="M8" s="408" t="s">
        <v>5</v>
      </c>
      <c r="N8" s="372" t="s">
        <v>45</v>
      </c>
      <c r="O8" s="376" t="s">
        <v>11</v>
      </c>
      <c r="P8" s="372" t="s">
        <v>158</v>
      </c>
      <c r="Q8" s="372" t="s">
        <v>12</v>
      </c>
      <c r="R8" s="372" t="s">
        <v>8</v>
      </c>
      <c r="S8" s="372"/>
      <c r="T8" s="372"/>
      <c r="U8" s="372"/>
      <c r="V8" s="372"/>
      <c r="W8" s="372"/>
      <c r="X8" s="376" t="s">
        <v>134</v>
      </c>
      <c r="Y8" s="376" t="s">
        <v>43</v>
      </c>
      <c r="Z8" s="376" t="s">
        <v>5</v>
      </c>
      <c r="AA8" s="376" t="s">
        <v>44</v>
      </c>
      <c r="AB8" s="376" t="s">
        <v>5</v>
      </c>
      <c r="AC8" s="376" t="s">
        <v>46</v>
      </c>
      <c r="AD8" s="376" t="s">
        <v>29</v>
      </c>
      <c r="AE8" s="372" t="s">
        <v>34</v>
      </c>
      <c r="AF8" s="372" t="s">
        <v>35</v>
      </c>
      <c r="AG8" s="373" t="s">
        <v>211</v>
      </c>
      <c r="AH8" s="379" t="s">
        <v>212</v>
      </c>
      <c r="AI8" s="374" t="s">
        <v>36</v>
      </c>
      <c r="AJ8" s="137"/>
      <c r="AK8" s="137"/>
      <c r="AL8" s="137"/>
      <c r="AM8" s="137"/>
      <c r="AN8" s="137"/>
      <c r="AO8" s="137"/>
      <c r="AP8" s="137"/>
      <c r="AQ8" s="137"/>
      <c r="AR8" s="137"/>
      <c r="AS8" s="137"/>
      <c r="AT8" s="137"/>
      <c r="AU8" s="137"/>
      <c r="AV8" s="137"/>
      <c r="AW8" s="137"/>
      <c r="AX8" s="137"/>
      <c r="AY8" s="137"/>
      <c r="AZ8" s="137"/>
      <c r="BA8" s="137"/>
      <c r="BB8" s="137"/>
      <c r="BC8" s="137"/>
      <c r="BD8" s="137"/>
      <c r="BE8" s="137"/>
      <c r="BF8" s="137"/>
      <c r="BG8" s="137"/>
      <c r="BH8" s="137"/>
      <c r="BI8" s="137"/>
      <c r="BJ8" s="137"/>
      <c r="BK8" s="137"/>
      <c r="BL8" s="137"/>
      <c r="BM8" s="137"/>
      <c r="BN8" s="137"/>
      <c r="BO8" s="137"/>
    </row>
    <row r="9" spans="1:67" s="227" customFormat="1" ht="94.5" customHeight="1" thickBot="1" x14ac:dyDescent="0.4">
      <c r="A9" s="416"/>
      <c r="B9" s="379"/>
      <c r="C9" s="373"/>
      <c r="D9" s="373"/>
      <c r="E9" s="379"/>
      <c r="F9" s="373"/>
      <c r="G9" s="373"/>
      <c r="H9" s="373"/>
      <c r="I9" s="379"/>
      <c r="J9" s="373"/>
      <c r="K9" s="373"/>
      <c r="L9" s="379"/>
      <c r="M9" s="379"/>
      <c r="N9" s="373"/>
      <c r="O9" s="377"/>
      <c r="P9" s="373"/>
      <c r="Q9" s="373"/>
      <c r="R9" s="126" t="s">
        <v>13</v>
      </c>
      <c r="S9" s="126" t="s">
        <v>17</v>
      </c>
      <c r="T9" s="126" t="s">
        <v>28</v>
      </c>
      <c r="U9" s="126" t="s">
        <v>18</v>
      </c>
      <c r="V9" s="126" t="s">
        <v>21</v>
      </c>
      <c r="W9" s="126" t="s">
        <v>24</v>
      </c>
      <c r="X9" s="377"/>
      <c r="Y9" s="377"/>
      <c r="Z9" s="377"/>
      <c r="AA9" s="377"/>
      <c r="AB9" s="377"/>
      <c r="AC9" s="377"/>
      <c r="AD9" s="377"/>
      <c r="AE9" s="373"/>
      <c r="AF9" s="373"/>
      <c r="AG9" s="378"/>
      <c r="AH9" s="380"/>
      <c r="AI9" s="375"/>
      <c r="AJ9" s="226"/>
      <c r="AK9" s="226"/>
      <c r="AL9" s="226"/>
      <c r="AM9" s="226"/>
      <c r="AN9" s="226"/>
      <c r="AO9" s="226"/>
      <c r="AP9" s="226"/>
      <c r="AQ9" s="226"/>
      <c r="AR9" s="226"/>
      <c r="AS9" s="226"/>
      <c r="AT9" s="226"/>
      <c r="AU9" s="226"/>
      <c r="AV9" s="226"/>
      <c r="AW9" s="226"/>
      <c r="AX9" s="226"/>
      <c r="AY9" s="226"/>
      <c r="AZ9" s="226"/>
      <c r="BA9" s="226"/>
      <c r="BB9" s="226"/>
      <c r="BC9" s="226"/>
      <c r="BD9" s="226"/>
      <c r="BE9" s="226"/>
      <c r="BF9" s="226"/>
      <c r="BG9" s="226"/>
      <c r="BH9" s="226"/>
      <c r="BI9" s="226"/>
      <c r="BJ9" s="226"/>
      <c r="BK9" s="226"/>
      <c r="BL9" s="226"/>
      <c r="BM9" s="226"/>
      <c r="BN9" s="226"/>
      <c r="BO9" s="226"/>
    </row>
    <row r="10" spans="1:67" s="243" customFormat="1" ht="96" customHeight="1" thickBot="1" x14ac:dyDescent="0.4">
      <c r="A10" s="402">
        <v>1</v>
      </c>
      <c r="B10" s="405" t="s">
        <v>130</v>
      </c>
      <c r="C10" s="405" t="s">
        <v>217</v>
      </c>
      <c r="D10" s="405" t="s">
        <v>218</v>
      </c>
      <c r="E10" s="409" t="s">
        <v>233</v>
      </c>
      <c r="F10" s="412" t="s">
        <v>120</v>
      </c>
      <c r="G10" s="384">
        <v>4</v>
      </c>
      <c r="H10" s="387" t="str">
        <f>IF(G10&lt;=0,"",IF(G10&lt;=2,"Muy Baja",IF(G10&lt;=24,"Baja",IF(G10&lt;=500,"Media",IF(G10&lt;=5000,"Alta","Muy Alta")))))</f>
        <v>Baja</v>
      </c>
      <c r="I10" s="393">
        <f>IF(H10="","",IF(H10="Muy Baja",0.2,IF(H10="Baja",0.4,IF(H10="Media",0.6,IF(H10="Alta",0.8,IF(H10="Muy Alta",1,))))))</f>
        <v>0.4</v>
      </c>
      <c r="J10" s="396" t="s">
        <v>147</v>
      </c>
      <c r="K10" s="399" t="str">
        <f>IF(NOT(ISERROR(MATCH(J10,'Tabla Impacto'!$B$221:$B$223,0))),'Tabla Impacto'!$F$223&amp;"Por favor no seleccionar los criterios de impacto(Afectación Económica o presupuestal y Pérdida Reputacional)",J10)</f>
        <v xml:space="preserve">     Mayor a 500 SMLMV </v>
      </c>
      <c r="L10" s="387" t="str">
        <f>IF(OR(K10='Tabla Impacto'!$C$11,K10='Tabla Impacto'!$D$11),"Leve",IF(OR(K10='Tabla Impacto'!$C$12,K10='Tabla Impacto'!$D$12),"Menor",IF(OR(K10='Tabla Impacto'!$C$13,K10='Tabla Impacto'!$D$13),"Moderado",IF(OR(K10='Tabla Impacto'!$C$14,K10='Tabla Impacto'!$D$14),"Mayor",IF(OR(K10='Tabla Impacto'!$C$15,K10='Tabla Impacto'!$D$15),"Catastrófico","")))))</f>
        <v>Catastrófico</v>
      </c>
      <c r="M10" s="393">
        <f>IF(L10="","",IF(L10="Leve",0.2,IF(L10="Menor",0.4,IF(L10="Moderado",0.6,IF(L10="Mayor",0.8,IF(L10="Catastrófico",1,))))))</f>
        <v>1</v>
      </c>
      <c r="N10" s="390"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Extremo</v>
      </c>
      <c r="O10" s="314">
        <v>1</v>
      </c>
      <c r="P10" s="312" t="s">
        <v>238</v>
      </c>
      <c r="Q10" s="315" t="str">
        <f>IF(OR(R10="Preventivo",R10="Detectivo"),"Probabilidad",IF(R10="Correctivo","Impacto",""))</f>
        <v>Probabilidad</v>
      </c>
      <c r="R10" s="690" t="s">
        <v>14</v>
      </c>
      <c r="S10" s="259" t="s">
        <v>9</v>
      </c>
      <c r="T10" s="260" t="str">
        <f>IF(AND(R10="Preventivo",S10="Automático"),"50%",IF(AND(R10="Preventivo",S10="Manual"),"40%",IF(AND(R10="Detectivo",S10="Automático"),"40%",IF(AND(R10="Detectivo",S10="Manual"),"30%",IF(AND(R10="Correctivo",S10="Automático"),"35%",IF(AND(R10="Correctivo",S10="Manual"),"25%",""))))))</f>
        <v>40%</v>
      </c>
      <c r="U10" s="692" t="s">
        <v>19</v>
      </c>
      <c r="V10" s="692" t="s">
        <v>22</v>
      </c>
      <c r="W10" s="692" t="s">
        <v>116</v>
      </c>
      <c r="X10" s="693">
        <f>IFERROR(IF(Q10="Probabilidad",(I10-(+I10*T10)),IF(Q10="Impacto",I10,"")),"")</f>
        <v>0.24</v>
      </c>
      <c r="Y10" s="694" t="str">
        <f>IFERROR(IF(X10="","",IF(X10&lt;=0.2,"Muy Baja",IF(X10&lt;=0.4,"Baja",IF(X10&lt;=0.6,"Media",IF(X10&lt;=0.8,"Alta","Muy Alta"))))),"")</f>
        <v>Baja</v>
      </c>
      <c r="Z10" s="695">
        <f>+X10</f>
        <v>0.24</v>
      </c>
      <c r="AA10" s="694" t="str">
        <f>IFERROR(IF(AB10="","",IF(AB10&lt;=0.2,"Leve",IF(AB10&lt;=0.4,"Menor",IF(AB10&lt;=0.6,"Moderado",IF(AB10&lt;=0.8,"Mayor","Catastrófico"))))),"")</f>
        <v>Catastrófico</v>
      </c>
      <c r="AB10" s="695">
        <f>IFERROR(IF(Q10="Impacto",(M10-(+M10*T10)),IF(Q10="Probabilidad",M10,"")),"")</f>
        <v>1</v>
      </c>
      <c r="AC10" s="699"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Extremo</v>
      </c>
      <c r="AD10" s="689" t="s">
        <v>132</v>
      </c>
      <c r="AE10" s="312" t="s">
        <v>239</v>
      </c>
      <c r="AF10" s="310" t="s">
        <v>219</v>
      </c>
      <c r="AG10" s="306">
        <v>45412</v>
      </c>
      <c r="AH10" s="308"/>
      <c r="AI10" s="241" t="s">
        <v>38</v>
      </c>
      <c r="AJ10" s="242"/>
      <c r="AK10" s="242"/>
      <c r="AL10" s="242"/>
      <c r="AM10" s="242"/>
      <c r="AN10" s="242"/>
      <c r="AO10" s="242"/>
      <c r="AP10" s="242"/>
      <c r="AQ10" s="242"/>
      <c r="AR10" s="242"/>
      <c r="AS10" s="242"/>
      <c r="AT10" s="242"/>
      <c r="AU10" s="242"/>
      <c r="AV10" s="242"/>
      <c r="AW10" s="242"/>
      <c r="AX10" s="242"/>
      <c r="AY10" s="242"/>
      <c r="AZ10" s="242"/>
      <c r="BA10" s="242"/>
      <c r="BB10" s="242"/>
      <c r="BC10" s="242"/>
      <c r="BD10" s="242"/>
      <c r="BE10" s="242"/>
      <c r="BF10" s="242"/>
      <c r="BG10" s="242"/>
      <c r="BH10" s="242"/>
      <c r="BI10" s="242"/>
      <c r="BJ10" s="242"/>
      <c r="BK10" s="242"/>
      <c r="BL10" s="242"/>
      <c r="BM10" s="242"/>
      <c r="BN10" s="242"/>
      <c r="BO10" s="242"/>
    </row>
    <row r="11" spans="1:67" ht="84.5" thickBot="1" x14ac:dyDescent="0.4">
      <c r="A11" s="403"/>
      <c r="B11" s="406"/>
      <c r="C11" s="406"/>
      <c r="D11" s="406"/>
      <c r="E11" s="410"/>
      <c r="F11" s="413"/>
      <c r="G11" s="385"/>
      <c r="H11" s="388"/>
      <c r="I11" s="394"/>
      <c r="J11" s="397"/>
      <c r="K11" s="400">
        <f ca="1">IF(NOT(ISERROR(MATCH(J11,_xlfn.ANCHORARRAY(E22),0))),I24&amp;"Por favor no seleccionar los criterios de impacto",J11)</f>
        <v>0</v>
      </c>
      <c r="L11" s="388"/>
      <c r="M11" s="394"/>
      <c r="N11" s="391"/>
      <c r="O11" s="244">
        <v>2</v>
      </c>
      <c r="P11" s="316" t="s">
        <v>231</v>
      </c>
      <c r="Q11" s="691" t="str">
        <f>IF(OR(R11="Preventivo",R11="Detectivo"),"Probabilidad",IF(R11="Correctivo","Impacto",""))</f>
        <v>Probabilidad</v>
      </c>
      <c r="R11" s="690" t="s">
        <v>14</v>
      </c>
      <c r="S11" s="692" t="s">
        <v>9</v>
      </c>
      <c r="T11" s="701" t="str">
        <f t="shared" ref="T11:T15" si="0">IF(AND(R11="Preventivo",S11="Automático"),"50%",IF(AND(R11="Preventivo",S11="Manual"),"40%",IF(AND(R11="Detectivo",S11="Automático"),"40%",IF(AND(R11="Detectivo",S11="Manual"),"30%",IF(AND(R11="Correctivo",S11="Automático"),"35%",IF(AND(R11="Correctivo",S11="Manual"),"25%",""))))))</f>
        <v>40%</v>
      </c>
      <c r="U11" s="692" t="s">
        <v>19</v>
      </c>
      <c r="V11" s="692" t="s">
        <v>22</v>
      </c>
      <c r="W11" s="692" t="s">
        <v>116</v>
      </c>
      <c r="X11" s="696">
        <f>IFERROR(IF(AND(Q10="Probabilidad",Q11="Probabilidad"),(Z10-(+Z10*T11)),IF(Q11="Probabilidad",(I10-(+I10*T11)),IF(Q11="Impacto",Z10,""))),"")</f>
        <v>0.14399999999999999</v>
      </c>
      <c r="Y11" s="697" t="str">
        <f t="shared" ref="Y11:Y69" si="1">IFERROR(IF(X11="","",IF(X11&lt;=0.2,"Muy Baja",IF(X11&lt;=0.4,"Baja",IF(X11&lt;=0.6,"Media",IF(X11&lt;=0.8,"Alta","Muy Alta"))))),"")</f>
        <v>Muy Baja</v>
      </c>
      <c r="Z11" s="698">
        <f t="shared" ref="Z11:Z15" si="2">+X11</f>
        <v>0.14399999999999999</v>
      </c>
      <c r="AA11" s="697" t="str">
        <f t="shared" ref="AA11:AA69" si="3">IFERROR(IF(AB11="","",IF(AB11&lt;=0.2,"Leve",IF(AB11&lt;=0.4,"Menor",IF(AB11&lt;=0.6,"Moderado",IF(AB11&lt;=0.8,"Mayor","Catastrófico"))))),"")</f>
        <v>Catastrófico</v>
      </c>
      <c r="AB11" s="698">
        <f>IFERROR(IF(AND(Q10="Impacto",Q11="Impacto"),(AB10-(+AB10*T11)),IF(Q11="Impacto",(M10-(+M10*T11)),IF(Q11="Probabilidad",AB10,""))),"")</f>
        <v>1</v>
      </c>
      <c r="AC11" s="700"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Extremo</v>
      </c>
      <c r="AD11" s="689" t="s">
        <v>132</v>
      </c>
      <c r="AE11" s="313" t="s">
        <v>232</v>
      </c>
      <c r="AF11" s="311" t="s">
        <v>219</v>
      </c>
      <c r="AG11" s="307">
        <v>45412</v>
      </c>
      <c r="AH11" s="309"/>
      <c r="AI11" s="247" t="s">
        <v>38</v>
      </c>
      <c r="AJ11" s="137"/>
      <c r="AK11" s="137"/>
      <c r="AL11" s="137"/>
      <c r="AM11" s="137"/>
      <c r="AN11" s="137"/>
      <c r="AO11" s="137"/>
      <c r="AP11" s="137"/>
      <c r="AQ11" s="137"/>
      <c r="AR11" s="137"/>
      <c r="AS11" s="137"/>
      <c r="AT11" s="137"/>
      <c r="AU11" s="137"/>
      <c r="AV11" s="137"/>
      <c r="AW11" s="137"/>
      <c r="AX11" s="137"/>
      <c r="AY11" s="137"/>
      <c r="AZ11" s="137"/>
      <c r="BA11" s="137"/>
      <c r="BB11" s="137"/>
      <c r="BC11" s="137"/>
      <c r="BD11" s="137"/>
      <c r="BE11" s="137"/>
      <c r="BF11" s="137"/>
      <c r="BG11" s="137"/>
      <c r="BH11" s="137"/>
      <c r="BI11" s="137"/>
      <c r="BJ11" s="137"/>
      <c r="BK11" s="137"/>
      <c r="BL11" s="137"/>
      <c r="BM11" s="137"/>
      <c r="BN11" s="137"/>
      <c r="BO11" s="137"/>
    </row>
    <row r="12" spans="1:67" ht="18.5" hidden="1" customHeight="1" thickBot="1" x14ac:dyDescent="0.4">
      <c r="A12" s="403"/>
      <c r="B12" s="406"/>
      <c r="C12" s="406"/>
      <c r="D12" s="406"/>
      <c r="E12" s="410"/>
      <c r="F12" s="413"/>
      <c r="G12" s="385"/>
      <c r="H12" s="388"/>
      <c r="I12" s="394"/>
      <c r="J12" s="397"/>
      <c r="K12" s="400">
        <f ca="1">IF(NOT(ISERROR(MATCH(J12,_xlfn.ANCHORARRAY(E23),0))),I25&amp;"Por favor no seleccionar los criterios de impacto",J12)</f>
        <v>0</v>
      </c>
      <c r="L12" s="388"/>
      <c r="M12" s="394"/>
      <c r="N12" s="391"/>
      <c r="O12" s="244">
        <v>3</v>
      </c>
      <c r="P12" s="265"/>
      <c r="Q12" s="266" t="str">
        <f>IF(OR(R12="Preventivo",R12="Detectivo"),"Probabilidad",IF(R12="Correctivo","Impacto",""))</f>
        <v/>
      </c>
      <c r="R12" s="690"/>
      <c r="S12" s="692"/>
      <c r="T12" s="702" t="str">
        <f t="shared" si="0"/>
        <v/>
      </c>
      <c r="U12" s="692"/>
      <c r="V12" s="692"/>
      <c r="W12" s="692"/>
      <c r="X12" s="261" t="str">
        <f>IFERROR(IF(AND(Q11="Probabilidad",Q12="Probabilidad"),(Z11-(+Z11*T12)),IF(AND(Q11="Impacto",Q12="Probabilidad"),(Z10-(+Z10*T12)),IF(Q12="Impacto",Z11,""))),"")</f>
        <v/>
      </c>
      <c r="Y12" s="262" t="str">
        <f t="shared" si="1"/>
        <v/>
      </c>
      <c r="Z12" s="263" t="str">
        <f t="shared" si="2"/>
        <v/>
      </c>
      <c r="AA12" s="262" t="str">
        <f t="shared" si="3"/>
        <v/>
      </c>
      <c r="AB12" s="263" t="str">
        <f>IFERROR(IF(AND(Q11="Impacto",Q12="Impacto"),(AB11-(+AB11*T12)),IF(AND(Q11="Probabilidad",Q12="Impacto"),(AB10-(+AB10*T12)),IF(Q12="Probabilidad",AB11,""))),"")</f>
        <v/>
      </c>
      <c r="AC12" s="264" t="str">
        <f t="shared" si="4"/>
        <v/>
      </c>
      <c r="AD12" s="689" t="s">
        <v>132</v>
      </c>
      <c r="AE12" s="258"/>
      <c r="AF12" s="245"/>
      <c r="AG12" s="246"/>
      <c r="AH12" s="282"/>
      <c r="AI12" s="247"/>
      <c r="AJ12" s="137"/>
      <c r="AK12" s="137"/>
      <c r="AL12" s="137"/>
      <c r="AM12" s="137"/>
      <c r="AN12" s="137"/>
      <c r="AO12" s="137"/>
      <c r="AP12" s="137"/>
      <c r="AQ12" s="137"/>
      <c r="AR12" s="137"/>
      <c r="AS12" s="137"/>
      <c r="AT12" s="137"/>
      <c r="AU12" s="137"/>
      <c r="AV12" s="137"/>
      <c r="AW12" s="137"/>
      <c r="AX12" s="137"/>
      <c r="AY12" s="137"/>
      <c r="AZ12" s="137"/>
      <c r="BA12" s="137"/>
      <c r="BB12" s="137"/>
      <c r="BC12" s="137"/>
      <c r="BD12" s="137"/>
      <c r="BE12" s="137"/>
      <c r="BF12" s="137"/>
      <c r="BG12" s="137"/>
      <c r="BH12" s="137"/>
      <c r="BI12" s="137"/>
      <c r="BJ12" s="137"/>
      <c r="BK12" s="137"/>
      <c r="BL12" s="137"/>
      <c r="BM12" s="137"/>
      <c r="BN12" s="137"/>
      <c r="BO12" s="137"/>
    </row>
    <row r="13" spans="1:67" ht="14.5" hidden="1" customHeight="1" thickBot="1" x14ac:dyDescent="0.4">
      <c r="A13" s="403"/>
      <c r="B13" s="406"/>
      <c r="C13" s="406"/>
      <c r="D13" s="406"/>
      <c r="E13" s="410"/>
      <c r="F13" s="413"/>
      <c r="G13" s="385"/>
      <c r="H13" s="388"/>
      <c r="I13" s="394"/>
      <c r="J13" s="397"/>
      <c r="K13" s="400">
        <f ca="1">IF(NOT(ISERROR(MATCH(J13,_xlfn.ANCHORARRAY(E24),0))),I26&amp;"Por favor no seleccionar los criterios de impacto",J13)</f>
        <v>0</v>
      </c>
      <c r="L13" s="388"/>
      <c r="M13" s="394"/>
      <c r="N13" s="391"/>
      <c r="O13" s="248">
        <v>4</v>
      </c>
      <c r="P13" s="265"/>
      <c r="Q13" s="266" t="str">
        <f t="shared" ref="Q13:Q15" si="5">IF(OR(R13="Preventivo",R13="Detectivo"),"Probabilidad",IF(R13="Correctivo","Impacto",""))</f>
        <v/>
      </c>
      <c r="R13" s="690"/>
      <c r="S13" s="692"/>
      <c r="T13" s="702" t="str">
        <f t="shared" si="0"/>
        <v/>
      </c>
      <c r="U13" s="692"/>
      <c r="V13" s="692"/>
      <c r="W13" s="692"/>
      <c r="X13" s="261" t="str">
        <f t="shared" ref="X13:X15" si="6">IFERROR(IF(AND(Q12="Probabilidad",Q13="Probabilidad"),(Z12-(+Z12*T13)),IF(AND(Q12="Impacto",Q13="Probabilidad"),(Z11-(+Z11*T13)),IF(Q13="Impacto",Z12,""))),"")</f>
        <v/>
      </c>
      <c r="Y13" s="262" t="str">
        <f t="shared" si="1"/>
        <v/>
      </c>
      <c r="Z13" s="263" t="str">
        <f t="shared" si="2"/>
        <v/>
      </c>
      <c r="AA13" s="262" t="str">
        <f t="shared" si="3"/>
        <v/>
      </c>
      <c r="AB13" s="263" t="str">
        <f t="shared" ref="AB13:AB15" si="7">IFERROR(IF(AND(Q12="Impacto",Q13="Impacto"),(AB12-(+AB12*T13)),IF(AND(Q12="Probabilidad",Q13="Impacto"),(AB11-(+AB11*T13)),IF(Q13="Probabilidad",AB12,""))),"")</f>
        <v/>
      </c>
      <c r="AC13" s="264"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689" t="s">
        <v>132</v>
      </c>
      <c r="AE13" s="258"/>
      <c r="AF13" s="245"/>
      <c r="AG13" s="246"/>
      <c r="AH13" s="246"/>
      <c r="AI13" s="247"/>
      <c r="AJ13" s="137"/>
      <c r="AK13" s="137"/>
      <c r="AL13" s="137"/>
      <c r="AM13" s="137"/>
      <c r="AN13" s="137"/>
      <c r="AO13" s="137"/>
      <c r="AP13" s="137"/>
      <c r="AQ13" s="137"/>
      <c r="AR13" s="137"/>
      <c r="AS13" s="137"/>
      <c r="AT13" s="137"/>
      <c r="AU13" s="137"/>
      <c r="AV13" s="137"/>
      <c r="AW13" s="137"/>
      <c r="AX13" s="137"/>
      <c r="AY13" s="137"/>
      <c r="AZ13" s="137"/>
      <c r="BA13" s="137"/>
      <c r="BB13" s="137"/>
      <c r="BC13" s="137"/>
      <c r="BD13" s="137"/>
      <c r="BE13" s="137"/>
      <c r="BF13" s="137"/>
      <c r="BG13" s="137"/>
      <c r="BH13" s="137"/>
      <c r="BI13" s="137"/>
      <c r="BJ13" s="137"/>
      <c r="BK13" s="137"/>
      <c r="BL13" s="137"/>
      <c r="BM13" s="137"/>
      <c r="BN13" s="137"/>
      <c r="BO13" s="137"/>
    </row>
    <row r="14" spans="1:67" ht="14.5" hidden="1" customHeight="1" thickBot="1" x14ac:dyDescent="0.4">
      <c r="A14" s="403"/>
      <c r="B14" s="406"/>
      <c r="C14" s="406"/>
      <c r="D14" s="406"/>
      <c r="E14" s="410"/>
      <c r="F14" s="413"/>
      <c r="G14" s="385"/>
      <c r="H14" s="388"/>
      <c r="I14" s="394"/>
      <c r="J14" s="397"/>
      <c r="K14" s="400">
        <f ca="1">IF(NOT(ISERROR(MATCH(J14,_xlfn.ANCHORARRAY(E25),0))),I27&amp;"Por favor no seleccionar los criterios de impacto",J14)</f>
        <v>0</v>
      </c>
      <c r="L14" s="388"/>
      <c r="M14" s="394"/>
      <c r="N14" s="391"/>
      <c r="O14" s="248">
        <v>5</v>
      </c>
      <c r="P14" s="265"/>
      <c r="Q14" s="266" t="str">
        <f t="shared" si="5"/>
        <v/>
      </c>
      <c r="R14" s="690"/>
      <c r="S14" s="692"/>
      <c r="T14" s="702" t="str">
        <f t="shared" si="0"/>
        <v/>
      </c>
      <c r="U14" s="692"/>
      <c r="V14" s="692"/>
      <c r="W14" s="692"/>
      <c r="X14" s="261" t="str">
        <f t="shared" si="6"/>
        <v/>
      </c>
      <c r="Y14" s="262" t="str">
        <f t="shared" si="1"/>
        <v/>
      </c>
      <c r="Z14" s="263" t="str">
        <f t="shared" si="2"/>
        <v/>
      </c>
      <c r="AA14" s="262" t="str">
        <f t="shared" si="3"/>
        <v/>
      </c>
      <c r="AB14" s="263" t="str">
        <f t="shared" si="7"/>
        <v/>
      </c>
      <c r="AC14" s="264" t="str">
        <f t="shared" si="4"/>
        <v/>
      </c>
      <c r="AD14" s="689" t="s">
        <v>132</v>
      </c>
      <c r="AE14" s="258"/>
      <c r="AF14" s="245"/>
      <c r="AG14" s="246"/>
      <c r="AH14" s="246"/>
      <c r="AI14" s="247"/>
      <c r="AJ14" s="137"/>
      <c r="AK14" s="137"/>
      <c r="AL14" s="137"/>
      <c r="AM14" s="137"/>
      <c r="AN14" s="137"/>
      <c r="AO14" s="137"/>
      <c r="AP14" s="137"/>
      <c r="AQ14" s="137"/>
      <c r="AR14" s="137"/>
      <c r="AS14" s="137"/>
      <c r="AT14" s="137"/>
      <c r="AU14" s="137"/>
      <c r="AV14" s="137"/>
      <c r="AW14" s="137"/>
      <c r="AX14" s="137"/>
      <c r="AY14" s="137"/>
      <c r="AZ14" s="137"/>
      <c r="BA14" s="137"/>
      <c r="BB14" s="137"/>
      <c r="BC14" s="137"/>
      <c r="BD14" s="137"/>
      <c r="BE14" s="137"/>
      <c r="BF14" s="137"/>
      <c r="BG14" s="137"/>
      <c r="BH14" s="137"/>
      <c r="BI14" s="137"/>
      <c r="BJ14" s="137"/>
      <c r="BK14" s="137"/>
      <c r="BL14" s="137"/>
      <c r="BM14" s="137"/>
      <c r="BN14" s="137"/>
      <c r="BO14" s="137"/>
    </row>
    <row r="15" spans="1:67" ht="16" hidden="1" customHeight="1" thickBot="1" x14ac:dyDescent="0.4">
      <c r="A15" s="404"/>
      <c r="B15" s="407"/>
      <c r="C15" s="407"/>
      <c r="D15" s="407"/>
      <c r="E15" s="411"/>
      <c r="F15" s="414"/>
      <c r="G15" s="386"/>
      <c r="H15" s="389"/>
      <c r="I15" s="395"/>
      <c r="J15" s="398"/>
      <c r="K15" s="401">
        <f ca="1">IF(NOT(ISERROR(MATCH(J15,_xlfn.ANCHORARRAY(E26),0))),I28&amp;"Por favor no seleccionar los criterios de impacto",J15)</f>
        <v>0</v>
      </c>
      <c r="L15" s="389"/>
      <c r="M15" s="395"/>
      <c r="N15" s="392"/>
      <c r="O15" s="249">
        <v>6</v>
      </c>
      <c r="P15" s="283"/>
      <c r="Q15" s="284" t="str">
        <f t="shared" si="5"/>
        <v/>
      </c>
      <c r="R15" s="690"/>
      <c r="S15" s="692"/>
      <c r="T15" s="703" t="str">
        <f t="shared" si="0"/>
        <v/>
      </c>
      <c r="U15" s="692"/>
      <c r="V15" s="692"/>
      <c r="W15" s="692"/>
      <c r="X15" s="286" t="str">
        <f t="shared" si="6"/>
        <v/>
      </c>
      <c r="Y15" s="287" t="str">
        <f t="shared" si="1"/>
        <v/>
      </c>
      <c r="Z15" s="285" t="str">
        <f t="shared" si="2"/>
        <v/>
      </c>
      <c r="AA15" s="287" t="str">
        <f t="shared" si="3"/>
        <v/>
      </c>
      <c r="AB15" s="285" t="str">
        <f t="shared" si="7"/>
        <v/>
      </c>
      <c r="AC15" s="288" t="str">
        <f t="shared" si="4"/>
        <v/>
      </c>
      <c r="AD15" s="689" t="s">
        <v>132</v>
      </c>
      <c r="AE15" s="289"/>
      <c r="AF15" s="250"/>
      <c r="AG15" s="251"/>
      <c r="AH15" s="251"/>
      <c r="AI15" s="252"/>
      <c r="AJ15" s="137"/>
      <c r="AK15" s="137"/>
      <c r="AL15" s="137"/>
      <c r="AM15" s="137"/>
      <c r="AN15" s="137"/>
      <c r="AO15" s="137"/>
      <c r="AP15" s="137"/>
      <c r="AQ15" s="137"/>
      <c r="AR15" s="137"/>
      <c r="AS15" s="137"/>
      <c r="AT15" s="137"/>
      <c r="AU15" s="137"/>
      <c r="AV15" s="137"/>
      <c r="AW15" s="137"/>
      <c r="AX15" s="137"/>
      <c r="AY15" s="137"/>
      <c r="AZ15" s="137"/>
      <c r="BA15" s="137"/>
      <c r="BB15" s="137"/>
      <c r="BC15" s="137"/>
      <c r="BD15" s="137"/>
      <c r="BE15" s="137"/>
      <c r="BF15" s="137"/>
      <c r="BG15" s="137"/>
      <c r="BH15" s="137"/>
      <c r="BI15" s="137"/>
      <c r="BJ15" s="137"/>
      <c r="BK15" s="137"/>
      <c r="BL15" s="137"/>
      <c r="BM15" s="137"/>
      <c r="BN15" s="137"/>
      <c r="BO15" s="137"/>
    </row>
    <row r="16" spans="1:67" ht="71.5" customHeight="1" thickBot="1" x14ac:dyDescent="0.4">
      <c r="A16" s="463">
        <v>2</v>
      </c>
      <c r="B16" s="405" t="s">
        <v>129</v>
      </c>
      <c r="C16" s="405" t="s">
        <v>236</v>
      </c>
      <c r="D16" s="405" t="s">
        <v>234</v>
      </c>
      <c r="E16" s="409" t="s">
        <v>221</v>
      </c>
      <c r="F16" s="474" t="s">
        <v>120</v>
      </c>
      <c r="G16" s="451">
        <v>365</v>
      </c>
      <c r="H16" s="454" t="str">
        <f>IF(G16&lt;=0,"",IF(G16&lt;=2,"Muy Baja",IF(G16&lt;=24,"Baja",IF(G16&lt;=500,"Media",IF(G16&lt;=5000,"Alta","Muy Alta")))))</f>
        <v>Media</v>
      </c>
      <c r="I16" s="445">
        <f>IF(H16="","",IF(H16="Muy Baja",0.2,IF(H16="Baja",0.4,IF(H16="Media",0.6,IF(H16="Alta",0.8,IF(H16="Muy Alta",1,))))))</f>
        <v>0.6</v>
      </c>
      <c r="J16" s="457" t="s">
        <v>145</v>
      </c>
      <c r="K16" s="439" t="str">
        <f>IF(NOT(ISERROR(MATCH(J16,'Tabla Impacto'!$B$221:$B$223,0))),'Tabla Impacto'!$F$223&amp;"Por favor no seleccionar los criterios de impacto(Afectación Económica o presupuestal y Pérdida Reputacional)",J16)</f>
        <v xml:space="preserve">     Entre 10 y 50 SMLMV </v>
      </c>
      <c r="L16" s="442" t="str">
        <f>IF(OR(K16='Tabla Impacto'!$C$11,K16='Tabla Impacto'!$D$11),"Leve",IF(OR(K16='Tabla Impacto'!$C$12,K16='Tabla Impacto'!$D$12),"Menor",IF(OR(K16='Tabla Impacto'!$C$13,K16='Tabla Impacto'!$D$13),"Moderado",IF(OR(K16='Tabla Impacto'!$C$14,K16='Tabla Impacto'!$D$14),"Mayor",IF(OR(K16='Tabla Impacto'!$C$15,K16='Tabla Impacto'!$D$15),"Catastrófico","")))))</f>
        <v>Menor</v>
      </c>
      <c r="M16" s="445">
        <f>IF(L16="","",IF(L16="Leve",0.2,IF(L16="Menor",0.4,IF(L16="Moderado",0.6,IF(L16="Mayor",0.8,IF(L16="Catastrófico",1,))))))</f>
        <v>0.4</v>
      </c>
      <c r="N16" s="448"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290">
        <v>1</v>
      </c>
      <c r="P16" s="324" t="s">
        <v>224</v>
      </c>
      <c r="Q16" s="323" t="str">
        <f>IF(OR(R16="Preventivo",R16="Detectivo"),"Probabilidad",IF(R16="Correctivo","Impacto",""))</f>
        <v>Probabilidad</v>
      </c>
      <c r="R16" s="690" t="s">
        <v>14</v>
      </c>
      <c r="S16" s="692" t="s">
        <v>9</v>
      </c>
      <c r="T16" s="704" t="str">
        <f>IF(AND(R16="Preventivo",S16="Automático"),"50%",IF(AND(R16="Preventivo",S16="Manual"),"40%",IF(AND(R16="Detectivo",S16="Automático"),"40%",IF(AND(R16="Detectivo",S16="Manual"),"30%",IF(AND(R16="Correctivo",S16="Automático"),"35%",IF(AND(R16="Correctivo",S16="Manual"),"25%",""))))))</f>
        <v>40%</v>
      </c>
      <c r="U16" s="692" t="s">
        <v>19</v>
      </c>
      <c r="V16" s="692" t="s">
        <v>22</v>
      </c>
      <c r="W16" s="692" t="s">
        <v>116</v>
      </c>
      <c r="X16" s="706">
        <f>IFERROR(IF(Q16="Probabilidad",(I16-(+I16*T16)),IF(Q16="Impacto",I16,"")),"")</f>
        <v>0.36</v>
      </c>
      <c r="Y16" s="707" t="str">
        <f>IFERROR(IF(X16="","",IF(X16&lt;=0.2,"Muy Baja",IF(X16&lt;=0.4,"Baja",IF(X16&lt;=0.6,"Media",IF(X16&lt;=0.8,"Alta","Muy Alta"))))),"")</f>
        <v>Baja</v>
      </c>
      <c r="Z16" s="708">
        <f>+X16</f>
        <v>0.36</v>
      </c>
      <c r="AA16" s="707" t="str">
        <f>IFERROR(IF(AB16="","",IF(AB16&lt;=0.2,"Leve",IF(AB16&lt;=0.4,"Menor",IF(AB16&lt;=0.6,"Moderado",IF(AB16&lt;=0.8,"Mayor","Catastrófico"))))),"")</f>
        <v>Menor</v>
      </c>
      <c r="AB16" s="708">
        <f>IFERROR(IF(Q16="Impacto",(M16-(+M16*T16)),IF(Q16="Probabilidad",M16,"")),"")</f>
        <v>0.4</v>
      </c>
      <c r="AC16" s="709"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689" t="s">
        <v>132</v>
      </c>
      <c r="AE16" s="312" t="s">
        <v>222</v>
      </c>
      <c r="AF16" s="310" t="s">
        <v>219</v>
      </c>
      <c r="AG16" s="325">
        <v>45412</v>
      </c>
      <c r="AH16" s="327"/>
      <c r="AI16" s="304" t="s">
        <v>38</v>
      </c>
      <c r="AJ16" s="137"/>
      <c r="AK16" s="137"/>
      <c r="AL16" s="137"/>
      <c r="AM16" s="137"/>
      <c r="AN16" s="137"/>
      <c r="AO16" s="137"/>
      <c r="AP16" s="137"/>
      <c r="AQ16" s="137"/>
      <c r="AR16" s="137"/>
      <c r="AS16" s="137"/>
      <c r="AT16" s="137"/>
      <c r="AU16" s="137"/>
      <c r="AV16" s="137"/>
      <c r="AW16" s="137"/>
      <c r="AX16" s="137"/>
      <c r="AY16" s="137"/>
      <c r="AZ16" s="137"/>
      <c r="BA16" s="137"/>
      <c r="BB16" s="137"/>
      <c r="BC16" s="137"/>
      <c r="BD16" s="137"/>
      <c r="BE16" s="137"/>
      <c r="BF16" s="137"/>
      <c r="BG16" s="137"/>
      <c r="BH16" s="137"/>
      <c r="BI16" s="137"/>
      <c r="BJ16" s="137"/>
      <c r="BK16" s="137"/>
      <c r="BL16" s="137"/>
      <c r="BM16" s="137"/>
      <c r="BN16" s="137"/>
      <c r="BO16" s="137"/>
    </row>
    <row r="17" spans="1:67" ht="90" customHeight="1" thickBot="1" x14ac:dyDescent="0.4">
      <c r="A17" s="464"/>
      <c r="B17" s="406"/>
      <c r="C17" s="406"/>
      <c r="D17" s="406"/>
      <c r="E17" s="472"/>
      <c r="F17" s="475"/>
      <c r="G17" s="452"/>
      <c r="H17" s="455"/>
      <c r="I17" s="446"/>
      <c r="J17" s="458"/>
      <c r="K17" s="440">
        <f t="shared" ref="K17:K21" ca="1" si="8">IF(NOT(ISERROR(MATCH(J17,_xlfn.ANCHORARRAY(E28),0))),I30&amp;"Por favor no seleccionar los criterios de impacto",J17)</f>
        <v>0</v>
      </c>
      <c r="L17" s="443"/>
      <c r="M17" s="446"/>
      <c r="N17" s="449"/>
      <c r="O17" s="254">
        <v>2</v>
      </c>
      <c r="P17" s="322" t="s">
        <v>223</v>
      </c>
      <c r="Q17" s="321" t="str">
        <f>IF(OR(R17="Preventivo",R17="Detectivo"),"Probabilidad",IF(R17="Correctivo","Impacto",""))</f>
        <v>Probabilidad</v>
      </c>
      <c r="R17" s="690" t="s">
        <v>14</v>
      </c>
      <c r="S17" s="692" t="s">
        <v>9</v>
      </c>
      <c r="T17" s="705" t="str">
        <f t="shared" ref="T17:T21" si="9">IF(AND(R17="Preventivo",S17="Automático"),"50%",IF(AND(R17="Preventivo",S17="Manual"),"40%",IF(AND(R17="Detectivo",S17="Automático"),"40%",IF(AND(R17="Detectivo",S17="Manual"),"30%",IF(AND(R17="Correctivo",S17="Automático"),"35%",IF(AND(R17="Correctivo",S17="Manual"),"25%",""))))))</f>
        <v>40%</v>
      </c>
      <c r="U17" s="692" t="s">
        <v>19</v>
      </c>
      <c r="V17" s="692" t="s">
        <v>22</v>
      </c>
      <c r="W17" s="692" t="s">
        <v>116</v>
      </c>
      <c r="X17" s="710">
        <f>IFERROR(IF(AND(Q16="Probabilidad",Q17="Probabilidad"),(Z16-(+Z16*T17)),IF(Q17="Probabilidad",(I16-(+I16*T17)),IF(Q17="Impacto",Z16,""))),"")</f>
        <v>0.216</v>
      </c>
      <c r="Y17" s="711" t="str">
        <f t="shared" ref="Y17:Y21" si="10">IFERROR(IF(X17="","",IF(X17&lt;=0.2,"Muy Baja",IF(X17&lt;=0.4,"Baja",IF(X17&lt;=0.6,"Media",IF(X17&lt;=0.8,"Alta","Muy Alta"))))),"")</f>
        <v>Baja</v>
      </c>
      <c r="Z17" s="712">
        <f t="shared" ref="Z17:Z21" si="11">+X17</f>
        <v>0.216</v>
      </c>
      <c r="AA17" s="711" t="str">
        <f t="shared" ref="AA17:AA21" si="12">IFERROR(IF(AB17="","",IF(AB17&lt;=0.2,"Leve",IF(AB17&lt;=0.4,"Menor",IF(AB17&lt;=0.6,"Moderado",IF(AB17&lt;=0.8,"Mayor","Catastrófico"))))),"")</f>
        <v>Menor</v>
      </c>
      <c r="AB17" s="712">
        <f>IFERROR(IF(AND(Q16="Impacto",Q17="Impacto"),(AB16-(+AB16*T17)),IF(Q17="Impacto",(M16-(+M16*T17)),IF(Q17="Probabilidad",AB16,""))),"")</f>
        <v>0.4</v>
      </c>
      <c r="AC17" s="713" t="str">
        <f t="shared" ref="AC17:AC18" si="13">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Moderado</v>
      </c>
      <c r="AD17" s="689" t="s">
        <v>132</v>
      </c>
      <c r="AE17" s="313" t="s">
        <v>225</v>
      </c>
      <c r="AF17" s="320" t="s">
        <v>219</v>
      </c>
      <c r="AG17" s="326">
        <v>45412</v>
      </c>
      <c r="AH17" s="328"/>
      <c r="AI17" s="305" t="s">
        <v>38</v>
      </c>
      <c r="AJ17" s="137"/>
      <c r="AK17" s="137"/>
      <c r="AL17" s="137"/>
      <c r="AM17" s="137"/>
      <c r="AN17" s="137"/>
      <c r="AO17" s="137"/>
      <c r="AP17" s="137"/>
      <c r="AQ17" s="137"/>
      <c r="AR17" s="137"/>
      <c r="AS17" s="137"/>
      <c r="AT17" s="137"/>
      <c r="AU17" s="137"/>
      <c r="AV17" s="137"/>
      <c r="AW17" s="137"/>
      <c r="AX17" s="137"/>
      <c r="AY17" s="137"/>
      <c r="AZ17" s="137"/>
      <c r="BA17" s="137"/>
      <c r="BB17" s="137"/>
      <c r="BC17" s="137"/>
      <c r="BD17" s="137"/>
      <c r="BE17" s="137"/>
      <c r="BF17" s="137"/>
      <c r="BG17" s="137"/>
      <c r="BH17" s="137"/>
      <c r="BI17" s="137"/>
      <c r="BJ17" s="137"/>
      <c r="BK17" s="137"/>
      <c r="BL17" s="137"/>
      <c r="BM17" s="137"/>
      <c r="BN17" s="137"/>
      <c r="BO17" s="137"/>
    </row>
    <row r="18" spans="1:67" ht="98" hidden="1" customHeight="1" thickBot="1" x14ac:dyDescent="0.4">
      <c r="A18" s="464"/>
      <c r="B18" s="406"/>
      <c r="C18" s="406"/>
      <c r="D18" s="406"/>
      <c r="E18" s="472"/>
      <c r="F18" s="475"/>
      <c r="G18" s="452"/>
      <c r="H18" s="455"/>
      <c r="I18" s="446"/>
      <c r="J18" s="458"/>
      <c r="K18" s="440">
        <f t="shared" ca="1" si="8"/>
        <v>0</v>
      </c>
      <c r="L18" s="443"/>
      <c r="M18" s="446"/>
      <c r="N18" s="449"/>
      <c r="O18" s="254">
        <v>3</v>
      </c>
      <c r="P18" s="270"/>
      <c r="Q18" s="267" t="str">
        <f>IF(OR(R18="Preventivo",R18="Detectivo"),"Probabilidad",IF(R18="Correctivo","Impacto",""))</f>
        <v/>
      </c>
      <c r="R18" s="690"/>
      <c r="S18" s="692"/>
      <c r="T18" s="268" t="str">
        <f t="shared" si="9"/>
        <v/>
      </c>
      <c r="U18" s="692"/>
      <c r="V18" s="692"/>
      <c r="W18" s="692"/>
      <c r="X18" s="714" t="str">
        <f>IFERROR(IF(AND(Q17="Probabilidad",Q18="Probabilidad"),(Z17-(+Z17*T18)),IF(AND(Q17="Impacto",Q18="Probabilidad"),(Z16-(+Z16*T18)),IF(Q18="Impacto",Z17,""))),"")</f>
        <v/>
      </c>
      <c r="Y18" s="711" t="str">
        <f t="shared" si="10"/>
        <v/>
      </c>
      <c r="Z18" s="712" t="str">
        <f t="shared" si="11"/>
        <v/>
      </c>
      <c r="AA18" s="711" t="str">
        <f t="shared" si="12"/>
        <v/>
      </c>
      <c r="AB18" s="712" t="str">
        <f>IFERROR(IF(AND(Q17="Impacto",Q18="Impacto"),(AB17-(+AB17*T18)),IF(AND(Q17="Probabilidad",Q18="Impacto"),(AB16-(+AB16*T18)),IF(Q18="Probabilidad",AB17,""))),"")</f>
        <v/>
      </c>
      <c r="AC18" s="713" t="str">
        <f t="shared" si="13"/>
        <v/>
      </c>
      <c r="AD18" s="689"/>
      <c r="AE18" s="258"/>
      <c r="AF18" s="255"/>
      <c r="AG18" s="256"/>
      <c r="AH18" s="256"/>
      <c r="AI18" s="291" t="s">
        <v>38</v>
      </c>
      <c r="AJ18" s="137"/>
      <c r="AK18" s="137"/>
      <c r="AL18" s="137"/>
      <c r="AM18" s="137"/>
      <c r="AN18" s="137"/>
      <c r="AO18" s="137"/>
      <c r="AP18" s="137"/>
      <c r="AQ18" s="137"/>
      <c r="AR18" s="137"/>
      <c r="AS18" s="137"/>
      <c r="AT18" s="137"/>
      <c r="AU18" s="137"/>
      <c r="AV18" s="137"/>
      <c r="AW18" s="137"/>
      <c r="AX18" s="137"/>
      <c r="AY18" s="137"/>
      <c r="AZ18" s="137"/>
      <c r="BA18" s="137"/>
      <c r="BB18" s="137"/>
      <c r="BC18" s="137"/>
      <c r="BD18" s="137"/>
      <c r="BE18" s="137"/>
      <c r="BF18" s="137"/>
      <c r="BG18" s="137"/>
      <c r="BH18" s="137"/>
      <c r="BI18" s="137"/>
      <c r="BJ18" s="137"/>
      <c r="BK18" s="137"/>
      <c r="BL18" s="137"/>
      <c r="BM18" s="137"/>
      <c r="BN18" s="137"/>
      <c r="BO18" s="137"/>
    </row>
    <row r="19" spans="1:67" ht="47.5" hidden="1" customHeight="1" thickBot="1" x14ac:dyDescent="0.4">
      <c r="A19" s="464"/>
      <c r="B19" s="406"/>
      <c r="C19" s="406"/>
      <c r="D19" s="406"/>
      <c r="E19" s="472"/>
      <c r="F19" s="475"/>
      <c r="G19" s="452"/>
      <c r="H19" s="455"/>
      <c r="I19" s="446"/>
      <c r="J19" s="458"/>
      <c r="K19" s="440">
        <f t="shared" ca="1" si="8"/>
        <v>0</v>
      </c>
      <c r="L19" s="443"/>
      <c r="M19" s="446"/>
      <c r="N19" s="449"/>
      <c r="O19" s="254">
        <v>4</v>
      </c>
      <c r="P19" s="272"/>
      <c r="Q19" s="267" t="str">
        <f>IF(OR(R19="Preventivo",R19="Detectivo"),"Probabilidad",IF(R19="Correctivo","Impacto",""))</f>
        <v/>
      </c>
      <c r="R19" s="690"/>
      <c r="S19" s="692"/>
      <c r="T19" s="268" t="str">
        <f t="shared" ref="T19" si="14">IF(AND(R19="Preventivo",S19="Automático"),"50%",IF(AND(R19="Preventivo",S19="Manual"),"40%",IF(AND(R19="Detectivo",S19="Automático"),"40%",IF(AND(R19="Detectivo",S19="Manual"),"30%",IF(AND(R19="Correctivo",S19="Automático"),"35%",IF(AND(R19="Correctivo",S19="Manual"),"25%",""))))))</f>
        <v/>
      </c>
      <c r="U19" s="692"/>
      <c r="V19" s="692"/>
      <c r="W19" s="692"/>
      <c r="X19" s="715" t="str">
        <f t="shared" ref="X19:X21" si="15">IFERROR(IF(AND(Q18="Probabilidad",Q19="Probabilidad"),(Z18-(+Z18*T19)),IF(AND(Q18="Impacto",Q19="Probabilidad"),(Z17-(+Z17*T19)),IF(Q19="Impacto",Z18,""))),"")</f>
        <v/>
      </c>
      <c r="Y19" s="273" t="str">
        <f t="shared" si="10"/>
        <v/>
      </c>
      <c r="Z19" s="274" t="str">
        <f t="shared" si="11"/>
        <v/>
      </c>
      <c r="AA19" s="275" t="str">
        <f t="shared" si="12"/>
        <v/>
      </c>
      <c r="AB19" s="274" t="str">
        <f t="shared" ref="AB19:AB21" si="16">IFERROR(IF(AND(Q18="Impacto",Q19="Impacto"),(AB18-(+AB18*T19)),IF(AND(Q18="Probabilidad",Q19="Impacto"),(AB17-(+AB17*T19)),IF(Q19="Probabilidad",AB18,""))),"")</f>
        <v/>
      </c>
      <c r="AC19" s="276"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689"/>
      <c r="AE19" s="258"/>
      <c r="AF19" s="256"/>
      <c r="AG19" s="256"/>
      <c r="AH19" s="256"/>
      <c r="AI19" s="291" t="s">
        <v>38</v>
      </c>
      <c r="AJ19" s="137"/>
      <c r="AK19" s="137"/>
      <c r="AL19" s="137"/>
      <c r="AM19" s="137"/>
      <c r="AN19" s="137"/>
      <c r="AO19" s="137"/>
      <c r="AP19" s="137"/>
      <c r="AQ19" s="137"/>
      <c r="AR19" s="137"/>
      <c r="AS19" s="137"/>
      <c r="AT19" s="137"/>
      <c r="AU19" s="137"/>
      <c r="AV19" s="137"/>
      <c r="AW19" s="137"/>
      <c r="AX19" s="137"/>
      <c r="AY19" s="137"/>
      <c r="AZ19" s="137"/>
      <c r="BA19" s="137"/>
      <c r="BB19" s="137"/>
      <c r="BC19" s="137"/>
      <c r="BD19" s="137"/>
      <c r="BE19" s="137"/>
      <c r="BF19" s="137"/>
      <c r="BG19" s="137"/>
      <c r="BH19" s="137"/>
      <c r="BI19" s="137"/>
      <c r="BJ19" s="137"/>
      <c r="BK19" s="137"/>
      <c r="BL19" s="137"/>
      <c r="BM19" s="137"/>
      <c r="BN19" s="137"/>
      <c r="BO19" s="137"/>
    </row>
    <row r="20" spans="1:67" ht="15" hidden="1" customHeight="1" thickBot="1" x14ac:dyDescent="0.4">
      <c r="A20" s="464"/>
      <c r="B20" s="406"/>
      <c r="C20" s="406"/>
      <c r="D20" s="406"/>
      <c r="E20" s="472"/>
      <c r="F20" s="475"/>
      <c r="G20" s="452"/>
      <c r="H20" s="455"/>
      <c r="I20" s="446"/>
      <c r="J20" s="458"/>
      <c r="K20" s="440">
        <f t="shared" ca="1" si="8"/>
        <v>0</v>
      </c>
      <c r="L20" s="443"/>
      <c r="M20" s="446"/>
      <c r="N20" s="449"/>
      <c r="O20" s="257">
        <v>5</v>
      </c>
      <c r="P20" s="277"/>
      <c r="Q20" s="267" t="str">
        <f t="shared" ref="Q20:Q21" si="17">IF(OR(R20="Preventivo",R20="Detectivo"),"Probabilidad",IF(R20="Correctivo","Impacto",""))</f>
        <v/>
      </c>
      <c r="R20" s="690"/>
      <c r="S20" s="692"/>
      <c r="T20" s="268" t="str">
        <f t="shared" si="9"/>
        <v/>
      </c>
      <c r="U20" s="692"/>
      <c r="V20" s="692"/>
      <c r="W20" s="692"/>
      <c r="X20" s="716" t="str">
        <f t="shared" si="15"/>
        <v/>
      </c>
      <c r="Y20" s="278" t="str">
        <f t="shared" si="10"/>
        <v/>
      </c>
      <c r="Z20" s="271" t="str">
        <f t="shared" si="11"/>
        <v/>
      </c>
      <c r="AA20" s="278" t="str">
        <f t="shared" si="12"/>
        <v/>
      </c>
      <c r="AB20" s="271" t="str">
        <f t="shared" si="16"/>
        <v/>
      </c>
      <c r="AC20" s="279" t="str">
        <f t="shared" ref="AC20:AC21" si="18">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689"/>
      <c r="AE20" s="258"/>
      <c r="AF20" s="256"/>
      <c r="AG20" s="256"/>
      <c r="AH20" s="256"/>
      <c r="AI20" s="291"/>
      <c r="AJ20" s="137"/>
      <c r="AK20" s="137"/>
      <c r="AL20" s="137"/>
      <c r="AM20" s="137"/>
      <c r="AN20" s="137"/>
      <c r="AO20" s="137"/>
      <c r="AP20" s="137"/>
      <c r="AQ20" s="137"/>
      <c r="AR20" s="137"/>
      <c r="AS20" s="137"/>
      <c r="AT20" s="137"/>
      <c r="AU20" s="137"/>
      <c r="AV20" s="137"/>
      <c r="AW20" s="137"/>
      <c r="AX20" s="137"/>
      <c r="AY20" s="137"/>
      <c r="AZ20" s="137"/>
      <c r="BA20" s="137"/>
      <c r="BB20" s="137"/>
      <c r="BC20" s="137"/>
      <c r="BD20" s="137"/>
      <c r="BE20" s="137"/>
      <c r="BF20" s="137"/>
      <c r="BG20" s="137"/>
      <c r="BH20" s="137"/>
      <c r="BI20" s="137"/>
      <c r="BJ20" s="137"/>
      <c r="BK20" s="137"/>
      <c r="BL20" s="137"/>
      <c r="BM20" s="137"/>
      <c r="BN20" s="137"/>
      <c r="BO20" s="137"/>
    </row>
    <row r="21" spans="1:67" ht="13" hidden="1" customHeight="1" thickBot="1" x14ac:dyDescent="0.4">
      <c r="A21" s="465"/>
      <c r="B21" s="407"/>
      <c r="C21" s="407"/>
      <c r="D21" s="407"/>
      <c r="E21" s="473"/>
      <c r="F21" s="476"/>
      <c r="G21" s="453"/>
      <c r="H21" s="456"/>
      <c r="I21" s="447"/>
      <c r="J21" s="459"/>
      <c r="K21" s="441">
        <f t="shared" ca="1" si="8"/>
        <v>0</v>
      </c>
      <c r="L21" s="444"/>
      <c r="M21" s="447"/>
      <c r="N21" s="450"/>
      <c r="O21" s="292">
        <v>6</v>
      </c>
      <c r="P21" s="293"/>
      <c r="Q21" s="294" t="str">
        <f t="shared" si="17"/>
        <v/>
      </c>
      <c r="R21" s="690"/>
      <c r="S21" s="692"/>
      <c r="T21" s="295" t="str">
        <f t="shared" si="9"/>
        <v/>
      </c>
      <c r="U21" s="692"/>
      <c r="V21" s="692"/>
      <c r="W21" s="692"/>
      <c r="X21" s="717" t="str">
        <f t="shared" si="15"/>
        <v/>
      </c>
      <c r="Y21" s="296" t="str">
        <f t="shared" si="10"/>
        <v/>
      </c>
      <c r="Z21" s="295" t="str">
        <f t="shared" si="11"/>
        <v/>
      </c>
      <c r="AA21" s="296" t="str">
        <f t="shared" si="12"/>
        <v/>
      </c>
      <c r="AB21" s="295" t="str">
        <f t="shared" si="16"/>
        <v/>
      </c>
      <c r="AC21" s="297" t="str">
        <f t="shared" si="18"/>
        <v/>
      </c>
      <c r="AD21" s="689"/>
      <c r="AE21" s="289"/>
      <c r="AF21" s="298"/>
      <c r="AG21" s="298"/>
      <c r="AH21" s="298"/>
      <c r="AI21" s="299"/>
      <c r="AJ21" s="137"/>
      <c r="AK21" s="137"/>
      <c r="AL21" s="137"/>
      <c r="AM21" s="137"/>
      <c r="AN21" s="137"/>
      <c r="AO21" s="137"/>
      <c r="AP21" s="137"/>
      <c r="AQ21" s="137"/>
      <c r="AR21" s="137"/>
      <c r="AS21" s="137"/>
      <c r="AT21" s="137"/>
      <c r="AU21" s="137"/>
      <c r="AV21" s="137"/>
      <c r="AW21" s="137"/>
      <c r="AX21" s="137"/>
      <c r="AY21" s="137"/>
      <c r="AZ21" s="137"/>
      <c r="BA21" s="137"/>
      <c r="BB21" s="137"/>
      <c r="BC21" s="137"/>
      <c r="BD21" s="137"/>
      <c r="BE21" s="137"/>
      <c r="BF21" s="137"/>
      <c r="BG21" s="137"/>
      <c r="BH21" s="137"/>
      <c r="BI21" s="137"/>
      <c r="BJ21" s="137"/>
      <c r="BK21" s="137"/>
      <c r="BL21" s="137"/>
      <c r="BM21" s="137"/>
      <c r="BN21" s="137"/>
      <c r="BO21" s="137"/>
    </row>
    <row r="22" spans="1:67" ht="77.5" customHeight="1" thickBot="1" x14ac:dyDescent="0.4">
      <c r="A22" s="466">
        <v>3</v>
      </c>
      <c r="B22" s="405" t="s">
        <v>129</v>
      </c>
      <c r="C22" s="469" t="s">
        <v>237</v>
      </c>
      <c r="D22" s="405" t="s">
        <v>235</v>
      </c>
      <c r="E22" s="409" t="s">
        <v>226</v>
      </c>
      <c r="F22" s="474" t="s">
        <v>120</v>
      </c>
      <c r="G22" s="451">
        <v>4</v>
      </c>
      <c r="H22" s="460" t="str">
        <f>IF(G22&lt;=0,"",IF(G22&lt;=2,"Muy Baja",IF(G22&lt;=24,"Baja",IF(G22&lt;=500,"Media",IF(G22&lt;=5000,"Alta","Muy Alta")))))</f>
        <v>Baja</v>
      </c>
      <c r="I22" s="433">
        <f>IF(H22="","",IF(H22="Muy Baja",0.2,IF(H22="Baja",0.4,IF(H22="Media",0.6,IF(H22="Alta",0.8,IF(H22="Muy Alta",1,))))))</f>
        <v>0.4</v>
      </c>
      <c r="J22" s="507" t="s">
        <v>145</v>
      </c>
      <c r="K22" s="510" t="str">
        <f>IF(NOT(ISERROR(MATCH(J22,'Tabla Impacto'!$B$221:$B$223,0))),'Tabla Impacto'!$F$223&amp;"Por favor no seleccionar los criterios de impacto(Afectación Económica o presupuestal y Pérdida Reputacional)",J22)</f>
        <v xml:space="preserve">     Entre 10 y 50 SMLMV </v>
      </c>
      <c r="L22" s="460" t="str">
        <f>IF(OR(K22='Tabla Impacto'!$C$11,K22='Tabla Impacto'!$D$11),"Leve",IF(OR(K22='Tabla Impacto'!$C$12,K22='Tabla Impacto'!$D$12),"Menor",IF(OR(K22='Tabla Impacto'!$C$13,K22='Tabla Impacto'!$D$13),"Moderado",IF(OR(K22='Tabla Impacto'!$C$14,K22='Tabla Impacto'!$D$14),"Mayor",IF(OR(K22='Tabla Impacto'!$C$15,K22='Tabla Impacto'!$D$15),"Catastrófico","")))))</f>
        <v>Menor</v>
      </c>
      <c r="M22" s="433">
        <f>IF(L22="","",IF(L22="Leve",0.2,IF(L22="Menor",0.4,IF(L22="Moderado",0.6,IF(L22="Mayor",0.8,IF(L22="Catastrófico",1,))))))</f>
        <v>0.4</v>
      </c>
      <c r="N22" s="436"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290">
        <v>1</v>
      </c>
      <c r="P22" s="300" t="s">
        <v>227</v>
      </c>
      <c r="Q22" s="301" t="str">
        <f>IF(OR(R22="Preventivo",R22="Detectivo"),"Probabilidad",IF(R22="Correctivo","Impacto",""))</f>
        <v>Probabilidad</v>
      </c>
      <c r="R22" s="690" t="s">
        <v>14</v>
      </c>
      <c r="S22" s="692" t="s">
        <v>9</v>
      </c>
      <c r="T22" s="302" t="str">
        <f>IF(AND(R22="Preventivo",S22="Automático"),"50%",IF(AND(R22="Preventivo",S22="Manual"),"40%",IF(AND(R22="Detectivo",S22="Automático"),"40%",IF(AND(R22="Detectivo",S22="Manual"),"30%",IF(AND(R22="Correctivo",S22="Automático"),"35%",IF(AND(R22="Correctivo",S22="Manual"),"25%",""))))))</f>
        <v>40%</v>
      </c>
      <c r="U22" s="692" t="s">
        <v>19</v>
      </c>
      <c r="V22" s="692" t="s">
        <v>22</v>
      </c>
      <c r="W22" s="692" t="s">
        <v>116</v>
      </c>
      <c r="X22" s="161">
        <f>IFERROR(IF(Q22="Probabilidad",(I22-(+I22*T22)),IF(Q22="Impacto",I22,"")),"")</f>
        <v>0.24</v>
      </c>
      <c r="Y22" s="195" t="str">
        <f>IFERROR(IF(X22="","",IF(X22&lt;=0.2,"Muy Baja",IF(X22&lt;=0.4,"Baja",IF(X22&lt;=0.6,"Media",IF(X22&lt;=0.8,"Alta","Muy Alta"))))),"")</f>
        <v>Baja</v>
      </c>
      <c r="Z22" s="196">
        <f>+X22</f>
        <v>0.24</v>
      </c>
      <c r="AA22" s="195" t="str">
        <f>IFERROR(IF(AB22="","",IF(AB22&lt;=0.2,"Leve",IF(AB22&lt;=0.4,"Menor",IF(AB22&lt;=0.6,"Moderado",IF(AB22&lt;=0.8,"Mayor","Catastrófico"))))),"")</f>
        <v>Menor</v>
      </c>
      <c r="AB22" s="196">
        <f>IFERROR(IF(Q22="Impacto",(M22-(+M22*T22)),IF(Q22="Probabilidad",M22,"")),"")</f>
        <v>0.4</v>
      </c>
      <c r="AC22" s="197"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689" t="s">
        <v>132</v>
      </c>
      <c r="AE22" s="303" t="s">
        <v>228</v>
      </c>
      <c r="AF22" s="317" t="s">
        <v>219</v>
      </c>
      <c r="AG22" s="306">
        <v>45412</v>
      </c>
      <c r="AH22" s="219"/>
      <c r="AI22" s="131" t="s">
        <v>38</v>
      </c>
      <c r="AJ22" s="137"/>
      <c r="AK22" s="137"/>
      <c r="AL22" s="137"/>
      <c r="AM22" s="137"/>
      <c r="AN22" s="137"/>
      <c r="AO22" s="137"/>
      <c r="AP22" s="137"/>
      <c r="AQ22" s="137"/>
      <c r="AR22" s="137"/>
      <c r="AS22" s="137"/>
      <c r="AT22" s="137"/>
      <c r="AU22" s="137"/>
      <c r="AV22" s="137"/>
      <c r="AW22" s="137"/>
      <c r="AX22" s="137"/>
      <c r="AY22" s="137"/>
      <c r="AZ22" s="137"/>
      <c r="BA22" s="137"/>
      <c r="BB22" s="137"/>
      <c r="BC22" s="137"/>
      <c r="BD22" s="137"/>
      <c r="BE22" s="137"/>
      <c r="BF22" s="137"/>
      <c r="BG22" s="137"/>
      <c r="BH22" s="137"/>
      <c r="BI22" s="137"/>
      <c r="BJ22" s="137"/>
      <c r="BK22" s="137"/>
      <c r="BL22" s="137"/>
      <c r="BM22" s="137"/>
      <c r="BN22" s="137"/>
      <c r="BO22" s="137"/>
    </row>
    <row r="23" spans="1:67" ht="94.5" customHeight="1" thickBot="1" x14ac:dyDescent="0.4">
      <c r="A23" s="467"/>
      <c r="B23" s="406"/>
      <c r="C23" s="470"/>
      <c r="D23" s="406"/>
      <c r="E23" s="472"/>
      <c r="F23" s="475"/>
      <c r="G23" s="452"/>
      <c r="H23" s="461"/>
      <c r="I23" s="434"/>
      <c r="J23" s="508"/>
      <c r="K23" s="511">
        <f t="shared" ref="K23:K27" ca="1" si="19">IF(NOT(ISERROR(MATCH(J23,_xlfn.ANCHORARRAY(E34),0))),I36&amp;"Por favor no seleccionar los criterios de impacto",J23)</f>
        <v>0</v>
      </c>
      <c r="L23" s="461"/>
      <c r="M23" s="434"/>
      <c r="N23" s="437"/>
      <c r="O23" s="290">
        <v>2</v>
      </c>
      <c r="P23" s="269" t="s">
        <v>230</v>
      </c>
      <c r="Q23" s="280" t="str">
        <f>IF(OR(R23="Preventivo",R23="Detectivo"),"Probabilidad",IF(R23="Correctivo","Impacto",""))</f>
        <v>Probabilidad</v>
      </c>
      <c r="R23" s="690" t="s">
        <v>14</v>
      </c>
      <c r="S23" s="692" t="s">
        <v>9</v>
      </c>
      <c r="T23" s="281" t="str">
        <f t="shared" ref="T23:T27" si="20">IF(AND(R23="Preventivo",S23="Automático"),"50%",IF(AND(R23="Preventivo",S23="Manual"),"40%",IF(AND(R23="Detectivo",S23="Automático"),"40%",IF(AND(R23="Detectivo",S23="Manual"),"30%",IF(AND(R23="Correctivo",S23="Automático"),"35%",IF(AND(R23="Correctivo",S23="Manual"),"25%",""))))))</f>
        <v>40%</v>
      </c>
      <c r="U23" s="692" t="s">
        <v>19</v>
      </c>
      <c r="V23" s="692" t="s">
        <v>22</v>
      </c>
      <c r="W23" s="692" t="s">
        <v>116</v>
      </c>
      <c r="X23" s="718">
        <f>IFERROR(IF(AND(Q22="Probabilidad",Q23="Probabilidad"),(Z22-(+Z22*T23)),IF(Q23="Probabilidad",(I22-(+I22*T23)),IF(Q23="Impacto",Z22,""))),"")</f>
        <v>0.14399999999999999</v>
      </c>
      <c r="Y23" s="190" t="str">
        <f t="shared" si="1"/>
        <v>Muy Baja</v>
      </c>
      <c r="Z23" s="191">
        <f t="shared" ref="Z23:Z27" si="21">+X23</f>
        <v>0.14399999999999999</v>
      </c>
      <c r="AA23" s="190" t="str">
        <f t="shared" si="3"/>
        <v>Menor</v>
      </c>
      <c r="AB23" s="191">
        <f>IFERROR(IF(AND(Q22="Impacto",Q23="Impacto"),(AB22-(+AB22*T23)),IF(Q23="Impacto",(M22-(+M22*T23)),IF(Q23="Probabilidad",AB22,""))),"")</f>
        <v>0.4</v>
      </c>
      <c r="AC23" s="192" t="str">
        <f t="shared" ref="AC23:AC24" si="22">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Bajo</v>
      </c>
      <c r="AD23" s="689" t="s">
        <v>132</v>
      </c>
      <c r="AE23" s="719" t="s">
        <v>229</v>
      </c>
      <c r="AF23" s="319" t="s">
        <v>219</v>
      </c>
      <c r="AG23" s="318">
        <v>45412</v>
      </c>
      <c r="AH23" s="217"/>
      <c r="AI23" s="136" t="s">
        <v>38</v>
      </c>
      <c r="AJ23" s="137"/>
      <c r="AK23" s="137"/>
      <c r="AL23" s="137"/>
      <c r="AM23" s="137"/>
      <c r="AN23" s="137"/>
      <c r="AO23" s="137"/>
      <c r="AP23" s="137"/>
      <c r="AQ23" s="137"/>
      <c r="AR23" s="137"/>
      <c r="AS23" s="137"/>
      <c r="AT23" s="137"/>
      <c r="AU23" s="137"/>
      <c r="AV23" s="137"/>
      <c r="AW23" s="137"/>
      <c r="AX23" s="137"/>
      <c r="AY23" s="137"/>
      <c r="AZ23" s="137"/>
      <c r="BA23" s="137"/>
      <c r="BB23" s="137"/>
      <c r="BC23" s="137"/>
      <c r="BD23" s="137"/>
      <c r="BE23" s="137"/>
      <c r="BF23" s="137"/>
      <c r="BG23" s="137"/>
      <c r="BH23" s="137"/>
      <c r="BI23" s="137"/>
      <c r="BJ23" s="137"/>
      <c r="BK23" s="137"/>
      <c r="BL23" s="137"/>
      <c r="BM23" s="137"/>
      <c r="BN23" s="137"/>
      <c r="BO23" s="137"/>
    </row>
    <row r="24" spans="1:67" ht="16" hidden="1" customHeight="1" thickBot="1" x14ac:dyDescent="0.4">
      <c r="A24" s="467"/>
      <c r="B24" s="406"/>
      <c r="C24" s="470"/>
      <c r="D24" s="406"/>
      <c r="E24" s="472"/>
      <c r="F24" s="475"/>
      <c r="G24" s="452"/>
      <c r="H24" s="461"/>
      <c r="I24" s="434"/>
      <c r="J24" s="508"/>
      <c r="K24" s="511">
        <f t="shared" ca="1" si="19"/>
        <v>0</v>
      </c>
      <c r="L24" s="461"/>
      <c r="M24" s="434"/>
      <c r="N24" s="437"/>
      <c r="O24" s="114">
        <v>3</v>
      </c>
      <c r="P24" s="134"/>
      <c r="Q24" s="185" t="str">
        <f>IF(OR(R24="Preventivo",R24="Detectivo"),"Probabilidad",IF(R24="Correctivo","Impacto",""))</f>
        <v/>
      </c>
      <c r="R24" s="117"/>
      <c r="S24" s="118"/>
      <c r="T24" s="207" t="str">
        <f t="shared" si="20"/>
        <v/>
      </c>
      <c r="U24" s="115"/>
      <c r="V24" s="115"/>
      <c r="W24" s="115"/>
      <c r="X24" s="132" t="str">
        <f>IFERROR(IF(AND(Q23="Probabilidad",Q24="Probabilidad"),(Z23-(+Z23*T24)),IF(AND(Q23="Impacto",Q24="Probabilidad"),(Z22-(+Z22*T24)),IF(Q24="Impacto",Z23,""))),"")</f>
        <v/>
      </c>
      <c r="Y24" s="198" t="str">
        <f t="shared" si="1"/>
        <v/>
      </c>
      <c r="Z24" s="199" t="str">
        <f t="shared" si="21"/>
        <v/>
      </c>
      <c r="AA24" s="198" t="str">
        <f t="shared" si="3"/>
        <v/>
      </c>
      <c r="AB24" s="199" t="str">
        <f>IFERROR(IF(AND(Q23="Impacto",Q24="Impacto"),(AB23-(+AB23*T24)),IF(AND(Q23="Probabilidad",Q24="Impacto"),(AB22-(+AB22*T24)),IF(Q24="Probabilidad",AB23,""))),"")</f>
        <v/>
      </c>
      <c r="AC24" s="200" t="str">
        <f t="shared" si="22"/>
        <v/>
      </c>
      <c r="AD24" s="148"/>
      <c r="AE24" s="134"/>
      <c r="AF24" s="134"/>
      <c r="AG24" s="217"/>
      <c r="AH24" s="217"/>
      <c r="AI24" s="136"/>
      <c r="AJ24" s="137"/>
      <c r="AK24" s="137"/>
      <c r="AL24" s="137"/>
      <c r="AM24" s="137"/>
      <c r="AN24" s="137"/>
      <c r="AO24" s="137"/>
      <c r="AP24" s="137"/>
      <c r="AQ24" s="137"/>
      <c r="AR24" s="137"/>
      <c r="AS24" s="137"/>
      <c r="AT24" s="137"/>
      <c r="AU24" s="137"/>
      <c r="AV24" s="137"/>
      <c r="AW24" s="137"/>
      <c r="AX24" s="137"/>
      <c r="AY24" s="137"/>
      <c r="AZ24" s="137"/>
      <c r="BA24" s="137"/>
      <c r="BB24" s="137"/>
      <c r="BC24" s="137"/>
      <c r="BD24" s="137"/>
      <c r="BE24" s="137"/>
      <c r="BF24" s="137"/>
      <c r="BG24" s="137"/>
      <c r="BH24" s="137"/>
      <c r="BI24" s="137"/>
      <c r="BJ24" s="137"/>
      <c r="BK24" s="137"/>
      <c r="BL24" s="137"/>
      <c r="BM24" s="137"/>
      <c r="BN24" s="137"/>
      <c r="BO24" s="137"/>
    </row>
    <row r="25" spans="1:67" ht="19.5" hidden="1" customHeight="1" thickBot="1" x14ac:dyDescent="0.4">
      <c r="A25" s="467"/>
      <c r="B25" s="406"/>
      <c r="C25" s="470"/>
      <c r="D25" s="406"/>
      <c r="E25" s="472"/>
      <c r="F25" s="475"/>
      <c r="G25" s="452"/>
      <c r="H25" s="461"/>
      <c r="I25" s="434"/>
      <c r="J25" s="508"/>
      <c r="K25" s="511">
        <f t="shared" ca="1" si="19"/>
        <v>0</v>
      </c>
      <c r="L25" s="461"/>
      <c r="M25" s="434"/>
      <c r="N25" s="437"/>
      <c r="O25" s="114">
        <v>4</v>
      </c>
      <c r="P25" s="177"/>
      <c r="Q25" s="185" t="str">
        <f t="shared" ref="Q25:Q27" si="23">IF(OR(R25="Preventivo",R25="Detectivo"),"Probabilidad",IF(R25="Correctivo","Impacto",""))</f>
        <v/>
      </c>
      <c r="R25" s="117"/>
      <c r="S25" s="118"/>
      <c r="T25" s="207" t="str">
        <f t="shared" si="20"/>
        <v/>
      </c>
      <c r="U25" s="116"/>
      <c r="V25" s="115"/>
      <c r="W25" s="116"/>
      <c r="X25" s="132" t="str">
        <f t="shared" ref="X25:X27" si="24">IFERROR(IF(AND(Q24="Probabilidad",Q25="Probabilidad"),(Z24-(+Z24*T25)),IF(AND(Q24="Impacto",Q25="Probabilidad"),(Z23-(+Z23*T25)),IF(Q25="Impacto",Z24,""))),"")</f>
        <v/>
      </c>
      <c r="Y25" s="198" t="str">
        <f t="shared" si="1"/>
        <v/>
      </c>
      <c r="Z25" s="199" t="str">
        <f t="shared" si="21"/>
        <v/>
      </c>
      <c r="AA25" s="198" t="str">
        <f t="shared" si="3"/>
        <v/>
      </c>
      <c r="AB25" s="199" t="str">
        <f t="shared" ref="AB25:AB27" si="25">IFERROR(IF(AND(Q24="Impacto",Q25="Impacto"),(AB24-(+AB24*T25)),IF(AND(Q24="Probabilidad",Q25="Impacto"),(AB23-(+AB23*T25)),IF(Q25="Probabilidad",AB24,""))),"")</f>
        <v/>
      </c>
      <c r="AC25" s="200"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48"/>
      <c r="AE25" s="134"/>
      <c r="AF25" s="134"/>
      <c r="AG25" s="217"/>
      <c r="AH25" s="217"/>
      <c r="AI25" s="136"/>
      <c r="AJ25" s="137"/>
      <c r="AK25" s="137"/>
      <c r="AL25" s="137"/>
      <c r="AM25" s="137"/>
      <c r="AN25" s="137"/>
      <c r="AO25" s="137"/>
      <c r="AP25" s="137"/>
      <c r="AQ25" s="137"/>
      <c r="AR25" s="137"/>
      <c r="AS25" s="137"/>
      <c r="AT25" s="137"/>
      <c r="AU25" s="137"/>
      <c r="AV25" s="137"/>
      <c r="AW25" s="137"/>
      <c r="AX25" s="137"/>
      <c r="AY25" s="137"/>
      <c r="AZ25" s="137"/>
      <c r="BA25" s="137"/>
      <c r="BB25" s="137"/>
      <c r="BC25" s="137"/>
      <c r="BD25" s="137"/>
      <c r="BE25" s="137"/>
      <c r="BF25" s="137"/>
      <c r="BG25" s="137"/>
      <c r="BH25" s="137"/>
      <c r="BI25" s="137"/>
      <c r="BJ25" s="137"/>
      <c r="BK25" s="137"/>
      <c r="BL25" s="137"/>
      <c r="BM25" s="137"/>
      <c r="BN25" s="137"/>
      <c r="BO25" s="137"/>
    </row>
    <row r="26" spans="1:67" ht="15" hidden="1" customHeight="1" thickBot="1" x14ac:dyDescent="0.4">
      <c r="A26" s="467"/>
      <c r="B26" s="406"/>
      <c r="C26" s="470"/>
      <c r="D26" s="406"/>
      <c r="E26" s="472"/>
      <c r="F26" s="475"/>
      <c r="G26" s="452"/>
      <c r="H26" s="461"/>
      <c r="I26" s="434"/>
      <c r="J26" s="508"/>
      <c r="K26" s="511">
        <f t="shared" ca="1" si="19"/>
        <v>0</v>
      </c>
      <c r="L26" s="461"/>
      <c r="M26" s="434"/>
      <c r="N26" s="437"/>
      <c r="O26" s="114">
        <v>5</v>
      </c>
      <c r="P26" s="177"/>
      <c r="Q26" s="185" t="str">
        <f t="shared" si="23"/>
        <v/>
      </c>
      <c r="R26" s="120"/>
      <c r="S26" s="121"/>
      <c r="T26" s="207" t="str">
        <f t="shared" si="20"/>
        <v/>
      </c>
      <c r="U26" s="116"/>
      <c r="V26" s="115"/>
      <c r="W26" s="116"/>
      <c r="X26" s="132" t="str">
        <f t="shared" si="24"/>
        <v/>
      </c>
      <c r="Y26" s="198" t="str">
        <f t="shared" si="1"/>
        <v/>
      </c>
      <c r="Z26" s="199" t="str">
        <f t="shared" si="21"/>
        <v/>
      </c>
      <c r="AA26" s="198" t="str">
        <f t="shared" si="3"/>
        <v/>
      </c>
      <c r="AB26" s="199" t="str">
        <f t="shared" si="25"/>
        <v/>
      </c>
      <c r="AC26" s="200" t="str">
        <f t="shared" ref="AC26:AC27" si="26">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48"/>
      <c r="AE26" s="134"/>
      <c r="AF26" s="134"/>
      <c r="AG26" s="217"/>
      <c r="AH26" s="217"/>
      <c r="AI26" s="136"/>
      <c r="AJ26" s="137"/>
      <c r="AK26" s="137"/>
      <c r="AL26" s="137"/>
      <c r="AM26" s="137"/>
      <c r="AN26" s="137"/>
      <c r="AO26" s="137"/>
      <c r="AP26" s="137"/>
      <c r="AQ26" s="137"/>
      <c r="AR26" s="137"/>
      <c r="AS26" s="137"/>
      <c r="AT26" s="137"/>
      <c r="AU26" s="137"/>
      <c r="AV26" s="137"/>
      <c r="AW26" s="137"/>
      <c r="AX26" s="137"/>
      <c r="AY26" s="137"/>
      <c r="AZ26" s="137"/>
      <c r="BA26" s="137"/>
      <c r="BB26" s="137"/>
      <c r="BC26" s="137"/>
      <c r="BD26" s="137"/>
      <c r="BE26" s="137"/>
      <c r="BF26" s="137"/>
      <c r="BG26" s="137"/>
      <c r="BH26" s="137"/>
      <c r="BI26" s="137"/>
      <c r="BJ26" s="137"/>
      <c r="BK26" s="137"/>
      <c r="BL26" s="137"/>
      <c r="BM26" s="137"/>
      <c r="BN26" s="137"/>
      <c r="BO26" s="137"/>
    </row>
    <row r="27" spans="1:67" ht="23.25" hidden="1" customHeight="1" thickBot="1" x14ac:dyDescent="0.4">
      <c r="A27" s="468"/>
      <c r="B27" s="407"/>
      <c r="C27" s="471"/>
      <c r="D27" s="407"/>
      <c r="E27" s="473"/>
      <c r="F27" s="476"/>
      <c r="G27" s="453"/>
      <c r="H27" s="462"/>
      <c r="I27" s="435"/>
      <c r="J27" s="509"/>
      <c r="K27" s="512">
        <f t="shared" ca="1" si="19"/>
        <v>0</v>
      </c>
      <c r="L27" s="462"/>
      <c r="M27" s="435"/>
      <c r="N27" s="438"/>
      <c r="O27" s="155">
        <v>6</v>
      </c>
      <c r="P27" s="156"/>
      <c r="Q27" s="188" t="str">
        <f t="shared" si="23"/>
        <v/>
      </c>
      <c r="R27" s="157"/>
      <c r="S27" s="157"/>
      <c r="T27" s="202" t="str">
        <f t="shared" si="20"/>
        <v/>
      </c>
      <c r="U27" s="157"/>
      <c r="V27" s="229"/>
      <c r="W27" s="157"/>
      <c r="X27" s="142" t="str">
        <f t="shared" si="24"/>
        <v/>
      </c>
      <c r="Y27" s="201" t="str">
        <f t="shared" si="1"/>
        <v/>
      </c>
      <c r="Z27" s="202" t="str">
        <f t="shared" si="21"/>
        <v/>
      </c>
      <c r="AA27" s="201" t="str">
        <f t="shared" si="3"/>
        <v/>
      </c>
      <c r="AB27" s="202" t="str">
        <f t="shared" si="25"/>
        <v/>
      </c>
      <c r="AC27" s="203" t="str">
        <f t="shared" si="26"/>
        <v/>
      </c>
      <c r="AD27" s="157"/>
      <c r="AE27" s="143"/>
      <c r="AF27" s="143"/>
      <c r="AG27" s="218"/>
      <c r="AH27" s="218"/>
      <c r="AI27" s="159"/>
      <c r="AJ27" s="137"/>
      <c r="AK27" s="137"/>
      <c r="AL27" s="137"/>
      <c r="AM27" s="137"/>
      <c r="AN27" s="137"/>
      <c r="AO27" s="137"/>
      <c r="AP27" s="137"/>
      <c r="AQ27" s="137"/>
      <c r="AR27" s="137"/>
      <c r="AS27" s="137"/>
      <c r="AT27" s="137"/>
      <c r="AU27" s="137"/>
      <c r="AV27" s="137"/>
      <c r="AW27" s="137"/>
      <c r="AX27" s="137"/>
      <c r="AY27" s="137"/>
      <c r="AZ27" s="137"/>
      <c r="BA27" s="137"/>
      <c r="BB27" s="137"/>
      <c r="BC27" s="137"/>
      <c r="BD27" s="137"/>
      <c r="BE27" s="137"/>
      <c r="BF27" s="137"/>
      <c r="BG27" s="137"/>
      <c r="BH27" s="137"/>
      <c r="BI27" s="137"/>
      <c r="BJ27" s="137"/>
      <c r="BK27" s="137"/>
      <c r="BL27" s="137"/>
      <c r="BM27" s="137"/>
      <c r="BN27" s="137"/>
      <c r="BO27" s="137"/>
    </row>
    <row r="28" spans="1:67" ht="16" hidden="1" thickBot="1" x14ac:dyDescent="0.4">
      <c r="A28" s="477"/>
      <c r="B28" s="480"/>
      <c r="C28" s="480"/>
      <c r="D28" s="480"/>
      <c r="E28" s="483"/>
      <c r="F28" s="486"/>
      <c r="G28" s="489"/>
      <c r="H28" s="492" t="str">
        <f>IF(G28&lt;=0,"",IF(G28&lt;=2,"Muy Baja",IF(G28&lt;=24,"Baja",IF(G28&lt;=500,"Media",IF(G28&lt;=5000,"Alta","Muy Alta")))))</f>
        <v/>
      </c>
      <c r="I28" s="495" t="str">
        <f>IF(H28="","",IF(H28="Muy Baja",0.2,IF(H28="Baja",0.4,IF(H28="Media",0.6,IF(H28="Alta",0.8,IF(H28="Muy Alta",1,))))))</f>
        <v/>
      </c>
      <c r="J28" s="498"/>
      <c r="K28" s="501">
        <f>IF(NOT(ISERROR(MATCH(J28,'Tabla Impacto'!$B$221:$B$223,0))),'Tabla Impacto'!$F$223&amp;"Por favor no seleccionar los criterios de impacto(Afectación Económica o presupuestal y Pérdida Reputacional)",J28)</f>
        <v>0</v>
      </c>
      <c r="L28" s="492" t="str">
        <f>IF(OR(K28='Tabla Impacto'!$C$11,K28='Tabla Impacto'!$D$11),"Leve",IF(OR(K28='Tabla Impacto'!$C$12,K28='Tabla Impacto'!$D$12),"Menor",IF(OR(K28='Tabla Impacto'!$C$13,K28='Tabla Impacto'!$D$13),"Moderado",IF(OR(K28='Tabla Impacto'!$C$14,K28='Tabla Impacto'!$D$14),"Mayor",IF(OR(K28='Tabla Impacto'!$C$15,K28='Tabla Impacto'!$D$15),"Catastrófico","")))))</f>
        <v/>
      </c>
      <c r="M28" s="495" t="str">
        <f>IF(L28="","",IF(L28="Leve",0.2,IF(L28="Menor",0.4,IF(L28="Moderado",0.6,IF(L28="Mayor",0.8,IF(L28="Catastrófico",1,))))))</f>
        <v/>
      </c>
      <c r="N28" s="504"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19">
        <v>1</v>
      </c>
      <c r="P28" s="230"/>
      <c r="Q28" s="186" t="str">
        <f>IF(OR(R28="Preventivo",R28="Detectivo"),"Probabilidad",IF(R28="Correctivo","Impacto",""))</f>
        <v/>
      </c>
      <c r="R28" s="115"/>
      <c r="S28" s="115"/>
      <c r="T28" s="127" t="str">
        <f>IF(AND(R28="Preventivo",S28="Automático"),"50%",IF(AND(R28="Preventivo",S28="Manual"),"40%",IF(AND(R28="Detectivo",S28="Automático"),"40%",IF(AND(R28="Detectivo",S28="Manual"),"30%",IF(AND(R28="Correctivo",S28="Automático"),"35%",IF(AND(R28="Correctivo",S28="Manual"),"25%",""))))))</f>
        <v/>
      </c>
      <c r="U28" s="115"/>
      <c r="V28" s="115"/>
      <c r="W28" s="115"/>
      <c r="X28" s="128" t="str">
        <f>IFERROR(IF(Q28="Probabilidad",(I28-(+I28*T28)),IF(Q28="Impacto",I28,"")),"")</f>
        <v/>
      </c>
      <c r="Y28" s="204" t="str">
        <f>IFERROR(IF(X28="","",IF(X28&lt;=0.2,"Muy Baja",IF(X28&lt;=0.4,"Baja",IF(X28&lt;=0.6,"Media",IF(X28&lt;=0.8,"Alta","Muy Alta"))))),"")</f>
        <v/>
      </c>
      <c r="Z28" s="205" t="str">
        <f>+X28</f>
        <v/>
      </c>
      <c r="AA28" s="204" t="str">
        <f>IFERROR(IF(AB28="","",IF(AB28&lt;=0.2,"Leve",IF(AB28&lt;=0.4,"Menor",IF(AB28&lt;=0.6,"Moderado",IF(AB28&lt;=0.8,"Mayor","Catastrófico"))))),"")</f>
        <v/>
      </c>
      <c r="AB28" s="205" t="str">
        <f>IFERROR(IF(Q28="Impacto",(M28-(+M28*T28)),IF(Q28="Probabilidad",M28,"")),"")</f>
        <v/>
      </c>
      <c r="AC28" s="206"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47"/>
      <c r="AE28" s="231"/>
      <c r="AF28" s="232"/>
      <c r="AG28" s="219"/>
      <c r="AH28" s="219"/>
      <c r="AI28" s="131"/>
      <c r="AJ28" s="137"/>
      <c r="AK28" s="137"/>
      <c r="AL28" s="137"/>
      <c r="AM28" s="137"/>
      <c r="AN28" s="137"/>
      <c r="AO28" s="137"/>
      <c r="AP28" s="137"/>
      <c r="AQ28" s="137"/>
      <c r="AR28" s="137"/>
      <c r="AS28" s="137"/>
      <c r="AT28" s="137"/>
      <c r="AU28" s="137"/>
      <c r="AV28" s="137"/>
      <c r="AW28" s="137"/>
      <c r="AX28" s="137"/>
      <c r="AY28" s="137"/>
      <c r="AZ28" s="137"/>
      <c r="BA28" s="137"/>
      <c r="BB28" s="137"/>
      <c r="BC28" s="137"/>
      <c r="BD28" s="137"/>
      <c r="BE28" s="137"/>
      <c r="BF28" s="137"/>
      <c r="BG28" s="137"/>
      <c r="BH28" s="137"/>
      <c r="BI28" s="137"/>
      <c r="BJ28" s="137"/>
      <c r="BK28" s="137"/>
      <c r="BL28" s="137"/>
      <c r="BM28" s="137"/>
      <c r="BN28" s="137"/>
      <c r="BO28" s="137"/>
    </row>
    <row r="29" spans="1:67" ht="16" hidden="1" thickBot="1" x14ac:dyDescent="0.4">
      <c r="A29" s="478"/>
      <c r="B29" s="481"/>
      <c r="C29" s="481"/>
      <c r="D29" s="481"/>
      <c r="E29" s="484"/>
      <c r="F29" s="487"/>
      <c r="G29" s="490"/>
      <c r="H29" s="493"/>
      <c r="I29" s="496"/>
      <c r="J29" s="499"/>
      <c r="K29" s="502">
        <f t="shared" ref="K29:K33" ca="1" si="27">IF(NOT(ISERROR(MATCH(J29,_xlfn.ANCHORARRAY(E40),0))),I42&amp;"Por favor no seleccionar los criterios de impacto",J29)</f>
        <v>0</v>
      </c>
      <c r="L29" s="493"/>
      <c r="M29" s="496"/>
      <c r="N29" s="505"/>
      <c r="O29" s="114">
        <v>2</v>
      </c>
      <c r="P29" s="177"/>
      <c r="Q29" s="183" t="str">
        <f>IF(OR(R29="Preventivo",R29="Detectivo"),"Probabilidad",IF(R29="Correctivo","Impacto",""))</f>
        <v/>
      </c>
      <c r="R29" s="115"/>
      <c r="S29" s="115"/>
      <c r="T29" s="139" t="str">
        <f t="shared" ref="T29:T33" si="28">IF(AND(R29="Preventivo",S29="Automático"),"50%",IF(AND(R29="Preventivo",S29="Manual"),"40%",IF(AND(R29="Detectivo",S29="Automático"),"40%",IF(AND(R29="Detectivo",S29="Manual"),"30%",IF(AND(R29="Correctivo",S29="Automático"),"35%",IF(AND(R29="Correctivo",S29="Manual"),"25%",""))))))</f>
        <v/>
      </c>
      <c r="U29" s="115"/>
      <c r="V29" s="115"/>
      <c r="W29" s="115"/>
      <c r="X29" s="132" t="str">
        <f>IFERROR(IF(AND(Q28="Probabilidad",Q29="Probabilidad"),(Z28-(+Z28*T29)),IF(Q29="Probabilidad",(I28-(+I28*T29)),IF(Q29="Impacto",Z28,""))),"")</f>
        <v/>
      </c>
      <c r="Y29" s="198" t="str">
        <f t="shared" si="1"/>
        <v/>
      </c>
      <c r="Z29" s="199" t="str">
        <f t="shared" ref="Z29:Z33" si="29">+X29</f>
        <v/>
      </c>
      <c r="AA29" s="198" t="str">
        <f t="shared" si="3"/>
        <v/>
      </c>
      <c r="AB29" s="199" t="str">
        <f>IFERROR(IF(AND(Q28="Impacto",Q29="Impacto"),(AB28-(+AB28*T29)),IF(Q29="Impacto",(M28-(+M28*T29)),IF(Q29="Probabilidad",AB28,""))),"")</f>
        <v/>
      </c>
      <c r="AC29" s="200" t="str">
        <f t="shared" ref="AC29:AC30" si="30">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48"/>
      <c r="AE29" s="134"/>
      <c r="AF29" s="134"/>
      <c r="AG29" s="217"/>
      <c r="AH29" s="217"/>
      <c r="AI29" s="136"/>
      <c r="AJ29" s="137"/>
      <c r="AK29" s="137"/>
      <c r="AL29" s="137"/>
      <c r="AM29" s="137"/>
      <c r="AN29" s="137"/>
      <c r="AO29" s="137"/>
      <c r="AP29" s="137"/>
      <c r="AQ29" s="137"/>
      <c r="AR29" s="137"/>
      <c r="AS29" s="137"/>
      <c r="AT29" s="137"/>
      <c r="AU29" s="137"/>
      <c r="AV29" s="137"/>
      <c r="AW29" s="137"/>
      <c r="AX29" s="137"/>
      <c r="AY29" s="137"/>
      <c r="AZ29" s="137"/>
      <c r="BA29" s="137"/>
      <c r="BB29" s="137"/>
      <c r="BC29" s="137"/>
      <c r="BD29" s="137"/>
      <c r="BE29" s="137"/>
      <c r="BF29" s="137"/>
      <c r="BG29" s="137"/>
      <c r="BH29" s="137"/>
      <c r="BI29" s="137"/>
      <c r="BJ29" s="137"/>
      <c r="BK29" s="137"/>
      <c r="BL29" s="137"/>
      <c r="BM29" s="137"/>
      <c r="BN29" s="137"/>
      <c r="BO29" s="137"/>
    </row>
    <row r="30" spans="1:67" ht="15.5" hidden="1" x14ac:dyDescent="0.35">
      <c r="A30" s="478"/>
      <c r="B30" s="481"/>
      <c r="C30" s="481"/>
      <c r="D30" s="481"/>
      <c r="E30" s="484"/>
      <c r="F30" s="487"/>
      <c r="G30" s="490"/>
      <c r="H30" s="493"/>
      <c r="I30" s="496"/>
      <c r="J30" s="499"/>
      <c r="K30" s="502">
        <f t="shared" ca="1" si="27"/>
        <v>0</v>
      </c>
      <c r="L30" s="493"/>
      <c r="M30" s="496"/>
      <c r="N30" s="505"/>
      <c r="O30" s="114">
        <v>3</v>
      </c>
      <c r="P30" s="177"/>
      <c r="Q30" s="183" t="str">
        <f>IF(OR(R30="Preventivo",R30="Detectivo"),"Probabilidad",IF(R30="Correctivo","Impacto",""))</f>
        <v/>
      </c>
      <c r="R30" s="115"/>
      <c r="S30" s="115"/>
      <c r="T30" s="139" t="str">
        <f t="shared" si="28"/>
        <v/>
      </c>
      <c r="U30" s="115"/>
      <c r="V30" s="115"/>
      <c r="W30" s="115"/>
      <c r="X30" s="132" t="str">
        <f>IFERROR(IF(AND(Q29="Probabilidad",Q30="Probabilidad"),(Z29-(+Z29*T30)),IF(AND(Q29="Impacto",Q30="Probabilidad"),(Z28-(+Z28*T30)),IF(Q30="Impacto",Z29,""))),"")</f>
        <v/>
      </c>
      <c r="Y30" s="198" t="str">
        <f t="shared" si="1"/>
        <v/>
      </c>
      <c r="Z30" s="199" t="str">
        <f t="shared" si="29"/>
        <v/>
      </c>
      <c r="AA30" s="198" t="str">
        <f t="shared" si="3"/>
        <v/>
      </c>
      <c r="AB30" s="199" t="str">
        <f>IFERROR(IF(AND(Q29="Impacto",Q30="Impacto"),(AB29-(+AB29*T30)),IF(AND(Q29="Probabilidad",Q30="Impacto"),(AB28-(+AB28*T30)),IF(Q30="Probabilidad",AB29,""))),"")</f>
        <v/>
      </c>
      <c r="AC30" s="200" t="str">
        <f t="shared" si="30"/>
        <v/>
      </c>
      <c r="AD30" s="148"/>
      <c r="AE30" s="134"/>
      <c r="AF30" s="134"/>
      <c r="AG30" s="217"/>
      <c r="AH30" s="217"/>
      <c r="AI30" s="136"/>
      <c r="AJ30" s="137"/>
      <c r="AK30" s="137"/>
      <c r="AL30" s="137"/>
      <c r="AM30" s="137"/>
      <c r="AN30" s="137"/>
      <c r="AO30" s="137"/>
      <c r="AP30" s="137"/>
      <c r="AQ30" s="137"/>
      <c r="AR30" s="137"/>
      <c r="AS30" s="137"/>
      <c r="AT30" s="137"/>
      <c r="AU30" s="137"/>
      <c r="AV30" s="137"/>
      <c r="AW30" s="137"/>
      <c r="AX30" s="137"/>
      <c r="AY30" s="137"/>
      <c r="AZ30" s="137"/>
      <c r="BA30" s="137"/>
      <c r="BB30" s="137"/>
      <c r="BC30" s="137"/>
      <c r="BD30" s="137"/>
      <c r="BE30" s="137"/>
      <c r="BF30" s="137"/>
      <c r="BG30" s="137"/>
      <c r="BH30" s="137"/>
      <c r="BI30" s="137"/>
      <c r="BJ30" s="137"/>
      <c r="BK30" s="137"/>
      <c r="BL30" s="137"/>
      <c r="BM30" s="137"/>
      <c r="BN30" s="137"/>
      <c r="BO30" s="137"/>
    </row>
    <row r="31" spans="1:67" ht="20.25" hidden="1" customHeight="1" x14ac:dyDescent="0.35">
      <c r="A31" s="478"/>
      <c r="B31" s="481"/>
      <c r="C31" s="481"/>
      <c r="D31" s="481"/>
      <c r="E31" s="484"/>
      <c r="F31" s="487"/>
      <c r="G31" s="490"/>
      <c r="H31" s="493"/>
      <c r="I31" s="496"/>
      <c r="J31" s="499"/>
      <c r="K31" s="502">
        <f t="shared" ca="1" si="27"/>
        <v>0</v>
      </c>
      <c r="L31" s="493"/>
      <c r="M31" s="496"/>
      <c r="N31" s="505"/>
      <c r="O31" s="149">
        <v>4</v>
      </c>
      <c r="P31" s="177"/>
      <c r="Q31" s="187" t="str">
        <f t="shared" ref="Q31:Q33" si="31">IF(OR(R31="Preventivo",R31="Detectivo"),"Probabilidad",IF(R31="Correctivo","Impacto",""))</f>
        <v/>
      </c>
      <c r="R31" s="151"/>
      <c r="S31" s="151"/>
      <c r="T31" s="208" t="str">
        <f t="shared" si="28"/>
        <v/>
      </c>
      <c r="U31" s="151"/>
      <c r="V31" s="151"/>
      <c r="W31" s="151"/>
      <c r="X31" s="132" t="str">
        <f t="shared" ref="X31:X33" si="32">IFERROR(IF(AND(Q30="Probabilidad",Q31="Probabilidad"),(Z30-(+Z30*T31)),IF(AND(Q30="Impacto",Q31="Probabilidad"),(Z29-(+Z29*T31)),IF(Q31="Impacto",Z30,""))),"")</f>
        <v/>
      </c>
      <c r="Y31" s="198" t="str">
        <f t="shared" si="1"/>
        <v/>
      </c>
      <c r="Z31" s="199" t="str">
        <f t="shared" si="29"/>
        <v/>
      </c>
      <c r="AA31" s="198" t="str">
        <f t="shared" si="3"/>
        <v/>
      </c>
      <c r="AB31" s="199" t="str">
        <f t="shared" ref="AB31:AB33" si="33">IFERROR(IF(AND(Q30="Impacto",Q31="Impacto"),(AB30-(+AB30*T31)),IF(AND(Q30="Probabilidad",Q31="Impacto"),(AB29-(+AB29*T31)),IF(Q31="Probabilidad",AB30,""))),"")</f>
        <v/>
      </c>
      <c r="AC31" s="200"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48"/>
      <c r="AE31" s="134"/>
      <c r="AF31" s="134"/>
      <c r="AG31" s="217"/>
      <c r="AH31" s="217"/>
      <c r="AI31" s="153"/>
      <c r="AJ31" s="137"/>
      <c r="AK31" s="137"/>
      <c r="AL31" s="137"/>
      <c r="AM31" s="137"/>
      <c r="AN31" s="137"/>
      <c r="AO31" s="137"/>
      <c r="AP31" s="137"/>
      <c r="AQ31" s="137"/>
      <c r="AR31" s="137"/>
      <c r="AS31" s="137"/>
      <c r="AT31" s="137"/>
      <c r="AU31" s="137"/>
      <c r="AV31" s="137"/>
      <c r="AW31" s="137"/>
      <c r="AX31" s="137"/>
      <c r="AY31" s="137"/>
      <c r="AZ31" s="137"/>
      <c r="BA31" s="137"/>
      <c r="BB31" s="137"/>
      <c r="BC31" s="137"/>
      <c r="BD31" s="137"/>
      <c r="BE31" s="137"/>
      <c r="BF31" s="137"/>
      <c r="BG31" s="137"/>
      <c r="BH31" s="137"/>
      <c r="BI31" s="137"/>
      <c r="BJ31" s="137"/>
      <c r="BK31" s="137"/>
      <c r="BL31" s="137"/>
      <c r="BM31" s="137"/>
      <c r="BN31" s="137"/>
      <c r="BO31" s="137"/>
    </row>
    <row r="32" spans="1:67" ht="31.5" hidden="1" customHeight="1" x14ac:dyDescent="0.35">
      <c r="A32" s="478"/>
      <c r="B32" s="481"/>
      <c r="C32" s="481"/>
      <c r="D32" s="481"/>
      <c r="E32" s="484"/>
      <c r="F32" s="487"/>
      <c r="G32" s="490"/>
      <c r="H32" s="493"/>
      <c r="I32" s="496"/>
      <c r="J32" s="499"/>
      <c r="K32" s="502">
        <f t="shared" ca="1" si="27"/>
        <v>0</v>
      </c>
      <c r="L32" s="493"/>
      <c r="M32" s="496"/>
      <c r="N32" s="505"/>
      <c r="O32" s="149">
        <v>5</v>
      </c>
      <c r="P32" s="177"/>
      <c r="Q32" s="187" t="str">
        <f t="shared" si="31"/>
        <v/>
      </c>
      <c r="R32" s="151"/>
      <c r="S32" s="151"/>
      <c r="T32" s="208" t="str">
        <f t="shared" si="28"/>
        <v/>
      </c>
      <c r="U32" s="151"/>
      <c r="V32" s="151"/>
      <c r="W32" s="151"/>
      <c r="X32" s="228" t="str">
        <f t="shared" si="32"/>
        <v/>
      </c>
      <c r="Y32" s="198" t="str">
        <f>IFERROR(IF(X32="","",IF(X32&lt;=0.2,"Muy Baja",IF(X32&lt;=0.4,"Baja",IF(X32&lt;=0.6,"Media",IF(X32&lt;=0.8,"Alta","Muy Alta"))))),"")</f>
        <v/>
      </c>
      <c r="Z32" s="199" t="str">
        <f t="shared" si="29"/>
        <v/>
      </c>
      <c r="AA32" s="198" t="str">
        <f t="shared" si="3"/>
        <v/>
      </c>
      <c r="AB32" s="199" t="str">
        <f t="shared" si="33"/>
        <v/>
      </c>
      <c r="AC32" s="200" t="str">
        <f t="shared" ref="AC32:AC33" si="34">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48"/>
      <c r="AE32" s="134"/>
      <c r="AF32" s="152"/>
      <c r="AG32" s="217"/>
      <c r="AH32" s="217"/>
      <c r="AI32" s="153"/>
      <c r="AJ32" s="137"/>
      <c r="AK32" s="137"/>
      <c r="AL32" s="137"/>
      <c r="AM32" s="137"/>
      <c r="AN32" s="137"/>
      <c r="AO32" s="137"/>
      <c r="AP32" s="137"/>
      <c r="AQ32" s="137"/>
      <c r="AR32" s="137"/>
      <c r="AS32" s="137"/>
      <c r="AT32" s="137"/>
      <c r="AU32" s="137"/>
      <c r="AV32" s="137"/>
      <c r="AW32" s="137"/>
      <c r="AX32" s="137"/>
      <c r="AY32" s="137"/>
      <c r="AZ32" s="137"/>
      <c r="BA32" s="137"/>
      <c r="BB32" s="137"/>
      <c r="BC32" s="137"/>
      <c r="BD32" s="137"/>
      <c r="BE32" s="137"/>
      <c r="BF32" s="137"/>
      <c r="BG32" s="137"/>
      <c r="BH32" s="137"/>
      <c r="BI32" s="137"/>
      <c r="BJ32" s="137"/>
      <c r="BK32" s="137"/>
      <c r="BL32" s="137"/>
      <c r="BM32" s="137"/>
      <c r="BN32" s="137"/>
      <c r="BO32" s="137"/>
    </row>
    <row r="33" spans="1:67" ht="46.5" hidden="1" customHeight="1" thickBot="1" x14ac:dyDescent="0.4">
      <c r="A33" s="479"/>
      <c r="B33" s="482"/>
      <c r="C33" s="482"/>
      <c r="D33" s="482"/>
      <c r="E33" s="485"/>
      <c r="F33" s="488"/>
      <c r="G33" s="491"/>
      <c r="H33" s="494"/>
      <c r="I33" s="497"/>
      <c r="J33" s="500"/>
      <c r="K33" s="503">
        <f t="shared" ca="1" si="27"/>
        <v>0</v>
      </c>
      <c r="L33" s="494"/>
      <c r="M33" s="497"/>
      <c r="N33" s="506"/>
      <c r="O33" s="155">
        <v>6</v>
      </c>
      <c r="P33" s="156"/>
      <c r="Q33" s="188" t="str">
        <f t="shared" si="31"/>
        <v/>
      </c>
      <c r="R33" s="157"/>
      <c r="S33" s="157"/>
      <c r="T33" s="202" t="str">
        <f t="shared" si="28"/>
        <v/>
      </c>
      <c r="U33" s="157"/>
      <c r="V33" s="157"/>
      <c r="W33" s="157"/>
      <c r="X33" s="142" t="str">
        <f t="shared" si="32"/>
        <v/>
      </c>
      <c r="Y33" s="201" t="str">
        <f t="shared" si="1"/>
        <v/>
      </c>
      <c r="Z33" s="202" t="str">
        <f t="shared" si="29"/>
        <v/>
      </c>
      <c r="AA33" s="201" t="str">
        <f t="shared" si="3"/>
        <v/>
      </c>
      <c r="AB33" s="202" t="str">
        <f t="shared" si="33"/>
        <v/>
      </c>
      <c r="AC33" s="203" t="str">
        <f t="shared" si="34"/>
        <v/>
      </c>
      <c r="AD33" s="157"/>
      <c r="AE33" s="233"/>
      <c r="AF33" s="234"/>
      <c r="AG33" s="218"/>
      <c r="AH33" s="218"/>
      <c r="AI33" s="159"/>
      <c r="AJ33" s="137"/>
      <c r="AK33" s="137"/>
      <c r="AL33" s="137"/>
      <c r="AM33" s="137"/>
      <c r="AN33" s="137"/>
      <c r="AO33" s="137"/>
      <c r="AP33" s="137"/>
      <c r="AQ33" s="137"/>
      <c r="AR33" s="137"/>
      <c r="AS33" s="137"/>
      <c r="AT33" s="137"/>
      <c r="AU33" s="137"/>
      <c r="AV33" s="137"/>
      <c r="AW33" s="137"/>
      <c r="AX33" s="137"/>
      <c r="AY33" s="137"/>
      <c r="AZ33" s="137"/>
      <c r="BA33" s="137"/>
      <c r="BB33" s="137"/>
      <c r="BC33" s="137"/>
      <c r="BD33" s="137"/>
      <c r="BE33" s="137"/>
      <c r="BF33" s="137"/>
      <c r="BG33" s="137"/>
      <c r="BH33" s="137"/>
      <c r="BI33" s="137"/>
      <c r="BJ33" s="137"/>
      <c r="BK33" s="137"/>
      <c r="BL33" s="137"/>
      <c r="BM33" s="137"/>
      <c r="BN33" s="137"/>
      <c r="BO33" s="137"/>
    </row>
    <row r="34" spans="1:67" ht="18.5" hidden="1" x14ac:dyDescent="0.35">
      <c r="A34" s="477"/>
      <c r="B34" s="480"/>
      <c r="C34" s="486"/>
      <c r="D34" s="486"/>
      <c r="E34" s="519"/>
      <c r="F34" s="480"/>
      <c r="G34" s="489"/>
      <c r="H34" s="492" t="str">
        <f>IF(G34&lt;=0,"",IF(G34&lt;=2,"Muy Baja",IF(G34&lt;=24,"Baja",IF(G34&lt;=500,"Media",IF(G34&lt;=5000,"Alta","Muy Alta")))))</f>
        <v/>
      </c>
      <c r="I34" s="495" t="str">
        <f>IF(H34="","",IF(H34="Muy Baja",0.2,IF(H34="Baja",0.4,IF(H34="Media",0.6,IF(H34="Alta",0.8,IF(H34="Muy Alta",1,))))))</f>
        <v/>
      </c>
      <c r="J34" s="498"/>
      <c r="K34" s="501">
        <f>IF(NOT(ISERROR(MATCH(J34,'Tabla Impacto'!$B$221:$B$223,0))),'Tabla Impacto'!$F$223&amp;"Por favor no seleccionar los criterios de impacto(Afectación Económica o presupuestal y Pérdida Reputacional)",J34)</f>
        <v>0</v>
      </c>
      <c r="L34" s="492" t="str">
        <f>IF(OR(K34='Tabla Impacto'!$C$11,K34='Tabla Impacto'!$D$11),"Leve",IF(OR(K34='Tabla Impacto'!$C$12,K34='Tabla Impacto'!$D$12),"Menor",IF(OR(K34='Tabla Impacto'!$C$13,K34='Tabla Impacto'!$D$13),"Moderado",IF(OR(K34='Tabla Impacto'!$C$14,K34='Tabla Impacto'!$D$14),"Mayor",IF(OR(K34='Tabla Impacto'!$C$15,K34='Tabla Impacto'!$D$15),"Catastrófico","")))))</f>
        <v/>
      </c>
      <c r="M34" s="495" t="str">
        <f>IF(L34="","",IF(L34="Leve",0.2,IF(L34="Menor",0.4,IF(L34="Moderado",0.6,IF(L34="Mayor",0.8,IF(L34="Catastrófico",1,))))))</f>
        <v/>
      </c>
      <c r="N34" s="504"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1">
        <v>1</v>
      </c>
      <c r="P34" s="123"/>
      <c r="Q34" s="186" t="str">
        <f>IF(OR(R34="Preventivo",R34="Detectivo"),"Probabilidad",IF(R34="Correctivo","Impacto",""))</f>
        <v/>
      </c>
      <c r="R34" s="115"/>
      <c r="S34" s="115"/>
      <c r="T34" s="127" t="str">
        <f>IF(AND(R34="Preventivo",S34="Automático"),"50%",IF(AND(R34="Preventivo",S34="Manual"),"40%",IF(AND(R34="Detectivo",S34="Automático"),"40%",IF(AND(R34="Detectivo",S34="Manual"),"30%",IF(AND(R34="Correctivo",S34="Automático"),"35%",IF(AND(R34="Correctivo",S34="Manual"),"25%",""))))))</f>
        <v/>
      </c>
      <c r="U34" s="115"/>
      <c r="V34" s="115"/>
      <c r="W34" s="115"/>
      <c r="X34" s="128" t="str">
        <f>IFERROR(IF(Q34="Probabilidad",(I34-(+I34*T34)),IF(Q34="Impacto",I34,"")),"")</f>
        <v/>
      </c>
      <c r="Y34" s="204" t="str">
        <f>IFERROR(IF(X34="","",IF(X34&lt;=0.2,"Muy Baja",IF(X34&lt;=0.4,"Baja",IF(X34&lt;=0.6,"Media",IF(X34&lt;=0.8,"Alta","Muy Alta"))))),"")</f>
        <v/>
      </c>
      <c r="Z34" s="205" t="str">
        <f>+X34</f>
        <v/>
      </c>
      <c r="AA34" s="204" t="str">
        <f>IFERROR(IF(AB34="","",IF(AB34&lt;=0.2,"Leve",IF(AB34&lt;=0.4,"Menor",IF(AB34&lt;=0.6,"Moderado",IF(AB34&lt;=0.8,"Mayor","Catastrófico"))))),"")</f>
        <v/>
      </c>
      <c r="AB34" s="205" t="str">
        <f>IFERROR(IF(Q34="Impacto",(M34-(+M34*T34)),IF(Q34="Probabilidad",M34,"")),"")</f>
        <v/>
      </c>
      <c r="AC34" s="206"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47"/>
      <c r="AE34" s="235"/>
      <c r="AF34" s="236"/>
      <c r="AG34" s="219"/>
      <c r="AH34" s="219"/>
      <c r="AI34" s="131"/>
      <c r="AJ34" s="137"/>
      <c r="AK34" s="137"/>
      <c r="AL34" s="137"/>
      <c r="AM34" s="137"/>
      <c r="AN34" s="137"/>
      <c r="AO34" s="137"/>
      <c r="AP34" s="137"/>
      <c r="AQ34" s="137"/>
      <c r="AR34" s="137"/>
      <c r="AS34" s="137"/>
      <c r="AT34" s="137"/>
      <c r="AU34" s="137"/>
      <c r="AV34" s="137"/>
      <c r="AW34" s="137"/>
      <c r="AX34" s="137"/>
      <c r="AY34" s="137"/>
      <c r="AZ34" s="137"/>
      <c r="BA34" s="137"/>
      <c r="BB34" s="137"/>
      <c r="BC34" s="137"/>
      <c r="BD34" s="137"/>
      <c r="BE34" s="137"/>
      <c r="BF34" s="137"/>
      <c r="BG34" s="137"/>
      <c r="BH34" s="137"/>
      <c r="BI34" s="137"/>
      <c r="BJ34" s="137"/>
      <c r="BK34" s="137"/>
      <c r="BL34" s="137"/>
      <c r="BM34" s="137"/>
      <c r="BN34" s="137"/>
      <c r="BO34" s="137"/>
    </row>
    <row r="35" spans="1:67" hidden="1" x14ac:dyDescent="0.35">
      <c r="A35" s="478"/>
      <c r="B35" s="481"/>
      <c r="C35" s="487"/>
      <c r="D35" s="487"/>
      <c r="E35" s="520"/>
      <c r="F35" s="481"/>
      <c r="G35" s="490"/>
      <c r="H35" s="493"/>
      <c r="I35" s="496"/>
      <c r="J35" s="499"/>
      <c r="K35" s="502">
        <f t="shared" ref="K35:K39" ca="1" si="35">IF(NOT(ISERROR(MATCH(J35,_xlfn.ANCHORARRAY(E46),0))),I48&amp;"Por favor no seleccionar los criterios de impacto",J35)</f>
        <v>0</v>
      </c>
      <c r="L35" s="493"/>
      <c r="M35" s="496"/>
      <c r="N35" s="505"/>
      <c r="O35" s="149">
        <v>2</v>
      </c>
      <c r="P35" s="154"/>
      <c r="Q35" s="187" t="str">
        <f>IF(OR(R35="Preventivo",R35="Detectivo"),"Probabilidad",IF(R35="Correctivo","Impacto",""))</f>
        <v/>
      </c>
      <c r="R35" s="151"/>
      <c r="S35" s="151"/>
      <c r="T35" s="208" t="str">
        <f t="shared" ref="T35:T39" si="36">IF(AND(R35="Preventivo",S35="Automático"),"50%",IF(AND(R35="Preventivo",S35="Manual"),"40%",IF(AND(R35="Detectivo",S35="Automático"),"40%",IF(AND(R35="Detectivo",S35="Manual"),"30%",IF(AND(R35="Correctivo",S35="Automático"),"35%",IF(AND(R35="Correctivo",S35="Manual"),"25%",""))))))</f>
        <v/>
      </c>
      <c r="U35" s="151"/>
      <c r="V35" s="151"/>
      <c r="W35" s="151"/>
      <c r="X35" s="132" t="str">
        <f>IFERROR(IF(AND(Q34="Probabilidad",Q35="Probabilidad"),(Z34-(+Z34*T35)),IF(Q35="Probabilidad",(I34-(+I34*T35)),IF(Q35="Impacto",Z34,""))),"")</f>
        <v/>
      </c>
      <c r="Y35" s="198" t="str">
        <f t="shared" si="1"/>
        <v/>
      </c>
      <c r="Z35" s="199" t="str">
        <f t="shared" ref="Z35:Z39" si="37">+X35</f>
        <v/>
      </c>
      <c r="AA35" s="198" t="str">
        <f t="shared" si="3"/>
        <v/>
      </c>
      <c r="AB35" s="199" t="str">
        <f>IFERROR(IF(AND(Q34="Impacto",Q35="Impacto"),(AB34-(+AB34*T35)),IF(Q35="Impacto",(M34-(+M34*T35)),IF(Q35="Probabilidad",AB34,""))),"")</f>
        <v/>
      </c>
      <c r="AC35" s="200" t="str">
        <f t="shared" ref="AC35:AC36" si="38">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48"/>
      <c r="AE35" s="135"/>
      <c r="AF35" s="152"/>
      <c r="AG35" s="217"/>
      <c r="AH35" s="217"/>
      <c r="AI35" s="153"/>
      <c r="AJ35" s="137"/>
      <c r="AK35" s="137"/>
      <c r="AL35" s="137"/>
      <c r="AM35" s="137"/>
      <c r="AN35" s="137"/>
      <c r="AO35" s="137"/>
      <c r="AP35" s="137"/>
      <c r="AQ35" s="137"/>
      <c r="AR35" s="137"/>
      <c r="AS35" s="137"/>
      <c r="AT35" s="137"/>
      <c r="AU35" s="137"/>
      <c r="AV35" s="137"/>
      <c r="AW35" s="137"/>
      <c r="AX35" s="137"/>
      <c r="AY35" s="137"/>
      <c r="AZ35" s="137"/>
      <c r="BA35" s="137"/>
      <c r="BB35" s="137"/>
      <c r="BC35" s="137"/>
      <c r="BD35" s="137"/>
      <c r="BE35" s="137"/>
      <c r="BF35" s="137"/>
      <c r="BG35" s="137"/>
      <c r="BH35" s="137"/>
      <c r="BI35" s="137"/>
      <c r="BJ35" s="137"/>
      <c r="BK35" s="137"/>
      <c r="BL35" s="137"/>
      <c r="BM35" s="137"/>
      <c r="BN35" s="137"/>
      <c r="BO35" s="137"/>
    </row>
    <row r="36" spans="1:67" hidden="1" x14ac:dyDescent="0.35">
      <c r="A36" s="478"/>
      <c r="B36" s="481"/>
      <c r="C36" s="487"/>
      <c r="D36" s="487"/>
      <c r="E36" s="520"/>
      <c r="F36" s="481"/>
      <c r="G36" s="490"/>
      <c r="H36" s="493"/>
      <c r="I36" s="496"/>
      <c r="J36" s="499"/>
      <c r="K36" s="502">
        <f t="shared" ca="1" si="35"/>
        <v>0</v>
      </c>
      <c r="L36" s="493"/>
      <c r="M36" s="496"/>
      <c r="N36" s="505"/>
      <c r="O36" s="149">
        <v>3</v>
      </c>
      <c r="P36" s="150"/>
      <c r="Q36" s="187" t="str">
        <f>IF(OR(R36="Preventivo",R36="Detectivo"),"Probabilidad",IF(R36="Correctivo","Impacto",""))</f>
        <v/>
      </c>
      <c r="R36" s="151"/>
      <c r="S36" s="151"/>
      <c r="T36" s="208" t="str">
        <f t="shared" si="36"/>
        <v/>
      </c>
      <c r="U36" s="151"/>
      <c r="V36" s="151"/>
      <c r="W36" s="151"/>
      <c r="X36" s="132" t="str">
        <f>IFERROR(IF(AND(Q35="Probabilidad",Q36="Probabilidad"),(Z35-(+Z35*T36)),IF(AND(Q35="Impacto",Q36="Probabilidad"),(Z34-(+Z34*T36)),IF(Q36="Impacto",Z35,""))),"")</f>
        <v/>
      </c>
      <c r="Y36" s="198" t="str">
        <f t="shared" si="1"/>
        <v/>
      </c>
      <c r="Z36" s="199" t="str">
        <f t="shared" si="37"/>
        <v/>
      </c>
      <c r="AA36" s="198" t="str">
        <f t="shared" si="3"/>
        <v/>
      </c>
      <c r="AB36" s="199" t="str">
        <f>IFERROR(IF(AND(Q35="Impacto",Q36="Impacto"),(AB35-(+AB35*T36)),IF(AND(Q35="Probabilidad",Q36="Impacto"),(AB34-(+AB34*T36)),IF(Q36="Probabilidad",AB35,""))),"")</f>
        <v/>
      </c>
      <c r="AC36" s="200" t="str">
        <f t="shared" si="38"/>
        <v/>
      </c>
      <c r="AD36" s="148"/>
      <c r="AE36" s="135"/>
      <c r="AF36" s="152"/>
      <c r="AG36" s="217"/>
      <c r="AH36" s="217"/>
      <c r="AI36" s="153"/>
      <c r="AJ36" s="137"/>
      <c r="AK36" s="137"/>
      <c r="AL36" s="137"/>
      <c r="AM36" s="137"/>
      <c r="AN36" s="137"/>
      <c r="AO36" s="137"/>
      <c r="AP36" s="137"/>
      <c r="AQ36" s="137"/>
      <c r="AR36" s="137"/>
      <c r="AS36" s="137"/>
      <c r="AT36" s="137"/>
      <c r="AU36" s="137"/>
      <c r="AV36" s="137"/>
      <c r="AW36" s="137"/>
      <c r="AX36" s="137"/>
      <c r="AY36" s="137"/>
      <c r="AZ36" s="137"/>
      <c r="BA36" s="137"/>
      <c r="BB36" s="137"/>
      <c r="BC36" s="137"/>
      <c r="BD36" s="137"/>
      <c r="BE36" s="137"/>
      <c r="BF36" s="137"/>
      <c r="BG36" s="137"/>
      <c r="BH36" s="137"/>
      <c r="BI36" s="137"/>
      <c r="BJ36" s="137"/>
      <c r="BK36" s="137"/>
      <c r="BL36" s="137"/>
      <c r="BM36" s="137"/>
      <c r="BN36" s="137"/>
      <c r="BO36" s="137"/>
    </row>
    <row r="37" spans="1:67" hidden="1" x14ac:dyDescent="0.35">
      <c r="A37" s="478"/>
      <c r="B37" s="481"/>
      <c r="C37" s="487"/>
      <c r="D37" s="487"/>
      <c r="E37" s="520"/>
      <c r="F37" s="481"/>
      <c r="G37" s="490"/>
      <c r="H37" s="493"/>
      <c r="I37" s="496"/>
      <c r="J37" s="499"/>
      <c r="K37" s="502">
        <f t="shared" ca="1" si="35"/>
        <v>0</v>
      </c>
      <c r="L37" s="493"/>
      <c r="M37" s="496"/>
      <c r="N37" s="505"/>
      <c r="O37" s="149">
        <v>4</v>
      </c>
      <c r="P37" s="154"/>
      <c r="Q37" s="187" t="str">
        <f t="shared" ref="Q37:Q39" si="39">IF(OR(R37="Preventivo",R37="Detectivo"),"Probabilidad",IF(R37="Correctivo","Impacto",""))</f>
        <v/>
      </c>
      <c r="R37" s="151"/>
      <c r="S37" s="151"/>
      <c r="T37" s="208" t="str">
        <f t="shared" si="36"/>
        <v/>
      </c>
      <c r="U37" s="151"/>
      <c r="V37" s="151"/>
      <c r="W37" s="151"/>
      <c r="X37" s="132" t="str">
        <f t="shared" ref="X37:X39" si="40">IFERROR(IF(AND(Q36="Probabilidad",Q37="Probabilidad"),(Z36-(+Z36*T37)),IF(AND(Q36="Impacto",Q37="Probabilidad"),(Z35-(+Z35*T37)),IF(Q37="Impacto",Z36,""))),"")</f>
        <v/>
      </c>
      <c r="Y37" s="198" t="str">
        <f t="shared" si="1"/>
        <v/>
      </c>
      <c r="Z37" s="199" t="str">
        <f t="shared" si="37"/>
        <v/>
      </c>
      <c r="AA37" s="198" t="str">
        <f t="shared" si="3"/>
        <v/>
      </c>
      <c r="AB37" s="199" t="str">
        <f t="shared" ref="AB37:AB39" si="41">IFERROR(IF(AND(Q36="Impacto",Q37="Impacto"),(AB36-(+AB36*T37)),IF(AND(Q36="Probabilidad",Q37="Impacto"),(AB35-(+AB35*T37)),IF(Q37="Probabilidad",AB36,""))),"")</f>
        <v/>
      </c>
      <c r="AC37" s="200"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48"/>
      <c r="AE37" s="135"/>
      <c r="AF37" s="152"/>
      <c r="AG37" s="217"/>
      <c r="AH37" s="217"/>
      <c r="AI37" s="153"/>
      <c r="AJ37" s="137"/>
      <c r="AK37" s="137"/>
      <c r="AL37" s="137"/>
      <c r="AM37" s="137"/>
      <c r="AN37" s="137"/>
      <c r="AO37" s="137"/>
      <c r="AP37" s="137"/>
      <c r="AQ37" s="137"/>
      <c r="AR37" s="137"/>
      <c r="AS37" s="137"/>
      <c r="AT37" s="137"/>
      <c r="AU37" s="137"/>
      <c r="AV37" s="137"/>
      <c r="AW37" s="137"/>
      <c r="AX37" s="137"/>
      <c r="AY37" s="137"/>
      <c r="AZ37" s="137"/>
      <c r="BA37" s="137"/>
      <c r="BB37" s="137"/>
      <c r="BC37" s="137"/>
      <c r="BD37" s="137"/>
      <c r="BE37" s="137"/>
      <c r="BF37" s="137"/>
      <c r="BG37" s="137"/>
      <c r="BH37" s="137"/>
      <c r="BI37" s="137"/>
      <c r="BJ37" s="137"/>
      <c r="BK37" s="137"/>
      <c r="BL37" s="137"/>
      <c r="BM37" s="137"/>
      <c r="BN37" s="137"/>
      <c r="BO37" s="137"/>
    </row>
    <row r="38" spans="1:67" ht="30" hidden="1" customHeight="1" x14ac:dyDescent="0.35">
      <c r="A38" s="478"/>
      <c r="B38" s="481"/>
      <c r="C38" s="487"/>
      <c r="D38" s="487"/>
      <c r="E38" s="520"/>
      <c r="F38" s="481"/>
      <c r="G38" s="490"/>
      <c r="H38" s="493"/>
      <c r="I38" s="496"/>
      <c r="J38" s="499"/>
      <c r="K38" s="502">
        <f t="shared" ca="1" si="35"/>
        <v>0</v>
      </c>
      <c r="L38" s="493"/>
      <c r="M38" s="496"/>
      <c r="N38" s="505"/>
      <c r="O38" s="149">
        <v>5</v>
      </c>
      <c r="P38" s="154"/>
      <c r="Q38" s="187" t="str">
        <f t="shared" si="39"/>
        <v/>
      </c>
      <c r="R38" s="151"/>
      <c r="S38" s="151"/>
      <c r="T38" s="208" t="str">
        <f t="shared" si="36"/>
        <v/>
      </c>
      <c r="U38" s="151"/>
      <c r="V38" s="151"/>
      <c r="W38" s="151"/>
      <c r="X38" s="132" t="str">
        <f t="shared" si="40"/>
        <v/>
      </c>
      <c r="Y38" s="198" t="str">
        <f t="shared" si="1"/>
        <v/>
      </c>
      <c r="Z38" s="199" t="str">
        <f t="shared" si="37"/>
        <v/>
      </c>
      <c r="AA38" s="198" t="str">
        <f t="shared" si="3"/>
        <v/>
      </c>
      <c r="AB38" s="199" t="str">
        <f t="shared" si="41"/>
        <v/>
      </c>
      <c r="AC38" s="200" t="str">
        <f t="shared" ref="AC38:AC39" si="42">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48"/>
      <c r="AE38" s="135"/>
      <c r="AF38" s="152"/>
      <c r="AG38" s="217"/>
      <c r="AH38" s="217"/>
      <c r="AI38" s="153"/>
      <c r="AJ38" s="137"/>
      <c r="AK38" s="137"/>
      <c r="AL38" s="137"/>
      <c r="AM38" s="137"/>
      <c r="AN38" s="137"/>
      <c r="AO38" s="137"/>
      <c r="AP38" s="137"/>
      <c r="AQ38" s="137"/>
      <c r="AR38" s="137"/>
      <c r="AS38" s="137"/>
      <c r="AT38" s="137"/>
      <c r="AU38" s="137"/>
      <c r="AV38" s="137"/>
      <c r="AW38" s="137"/>
      <c r="AX38" s="137"/>
      <c r="AY38" s="137"/>
      <c r="AZ38" s="137"/>
      <c r="BA38" s="137"/>
      <c r="BB38" s="137"/>
      <c r="BC38" s="137"/>
      <c r="BD38" s="137"/>
      <c r="BE38" s="137"/>
      <c r="BF38" s="137"/>
      <c r="BG38" s="137"/>
      <c r="BH38" s="137"/>
      <c r="BI38" s="137"/>
      <c r="BJ38" s="137"/>
      <c r="BK38" s="137"/>
      <c r="BL38" s="137"/>
      <c r="BM38" s="137"/>
      <c r="BN38" s="137"/>
      <c r="BO38" s="137"/>
    </row>
    <row r="39" spans="1:67" ht="43.5" hidden="1" customHeight="1" thickBot="1" x14ac:dyDescent="0.4">
      <c r="A39" s="479"/>
      <c r="B39" s="482"/>
      <c r="C39" s="488"/>
      <c r="D39" s="488"/>
      <c r="E39" s="521"/>
      <c r="F39" s="482"/>
      <c r="G39" s="491"/>
      <c r="H39" s="494"/>
      <c r="I39" s="497"/>
      <c r="J39" s="500"/>
      <c r="K39" s="503">
        <f t="shared" ca="1" si="35"/>
        <v>0</v>
      </c>
      <c r="L39" s="494"/>
      <c r="M39" s="497"/>
      <c r="N39" s="506"/>
      <c r="O39" s="155">
        <v>6</v>
      </c>
      <c r="P39" s="156"/>
      <c r="Q39" s="188" t="str">
        <f t="shared" si="39"/>
        <v/>
      </c>
      <c r="R39" s="157"/>
      <c r="S39" s="157"/>
      <c r="T39" s="202" t="str">
        <f t="shared" si="36"/>
        <v/>
      </c>
      <c r="U39" s="157"/>
      <c r="V39" s="157"/>
      <c r="W39" s="157"/>
      <c r="X39" s="142" t="str">
        <f t="shared" si="40"/>
        <v/>
      </c>
      <c r="Y39" s="201" t="str">
        <f t="shared" si="1"/>
        <v/>
      </c>
      <c r="Z39" s="202" t="str">
        <f t="shared" si="37"/>
        <v/>
      </c>
      <c r="AA39" s="201" t="str">
        <f t="shared" si="3"/>
        <v/>
      </c>
      <c r="AB39" s="202" t="str">
        <f t="shared" si="41"/>
        <v/>
      </c>
      <c r="AC39" s="203" t="str">
        <f t="shared" si="42"/>
        <v/>
      </c>
      <c r="AD39" s="157"/>
      <c r="AE39" s="144"/>
      <c r="AF39" s="158"/>
      <c r="AG39" s="218"/>
      <c r="AH39" s="218"/>
      <c r="AI39" s="159"/>
      <c r="AJ39" s="137"/>
      <c r="AK39" s="137"/>
      <c r="AL39" s="137"/>
      <c r="AM39" s="137"/>
      <c r="AN39" s="137"/>
      <c r="AO39" s="137"/>
      <c r="AP39" s="137"/>
      <c r="AQ39" s="137"/>
      <c r="AR39" s="137"/>
      <c r="AS39" s="137"/>
      <c r="AT39" s="137"/>
      <c r="AU39" s="137"/>
      <c r="AV39" s="137"/>
      <c r="AW39" s="137"/>
      <c r="AX39" s="137"/>
      <c r="AY39" s="137"/>
      <c r="AZ39" s="137"/>
      <c r="BA39" s="137"/>
      <c r="BB39" s="137"/>
      <c r="BC39" s="137"/>
      <c r="BD39" s="137"/>
      <c r="BE39" s="137"/>
      <c r="BF39" s="137"/>
      <c r="BG39" s="137"/>
      <c r="BH39" s="137"/>
      <c r="BI39" s="137"/>
      <c r="BJ39" s="137"/>
      <c r="BK39" s="137"/>
      <c r="BL39" s="137"/>
      <c r="BM39" s="137"/>
      <c r="BN39" s="137"/>
      <c r="BO39" s="137"/>
    </row>
    <row r="40" spans="1:67" ht="21" hidden="1" x14ac:dyDescent="0.35">
      <c r="A40" s="513"/>
      <c r="B40" s="469"/>
      <c r="C40" s="516"/>
      <c r="D40" s="516"/>
      <c r="E40" s="483"/>
      <c r="F40" s="469"/>
      <c r="G40" s="451"/>
      <c r="H40" s="460" t="str">
        <f>IF(G40&lt;=0,"",IF(G40&lt;=2,"Muy Baja",IF(G40&lt;=24,"Baja",IF(G40&lt;=500,"Media",IF(G40&lt;=5000,"Alta","Muy Alta")))))</f>
        <v/>
      </c>
      <c r="I40" s="433" t="str">
        <f>IF(H40="","",IF(H40="Muy Baja",0.2,IF(H40="Baja",0.4,IF(H40="Media",0.6,IF(H40="Alta",0.8,IF(H40="Muy Alta",1,))))))</f>
        <v/>
      </c>
      <c r="J40" s="507"/>
      <c r="K40" s="510">
        <f>IF(NOT(ISERROR(MATCH(J40,'Tabla Impacto'!$B$221:$B$223,0))),'Tabla Impacto'!$F$223&amp;"Por favor no seleccionar los criterios de impacto(Afectación Económica o presupuestal y Pérdida Reputacional)",J40)</f>
        <v>0</v>
      </c>
      <c r="L40" s="460" t="str">
        <f>IF(OR(K40='Tabla Impacto'!$C$11,K40='Tabla Impacto'!$D$11),"Leve",IF(OR(K40='Tabla Impacto'!$C$12,K40='Tabla Impacto'!$D$12),"Menor",IF(OR(K40='Tabla Impacto'!$C$13,K40='Tabla Impacto'!$D$13),"Moderado",IF(OR(K40='Tabla Impacto'!$C$14,K40='Tabla Impacto'!$D$14),"Mayor",IF(OR(K40='Tabla Impacto'!$C$15,K40='Tabla Impacto'!$D$15),"Catastrófico","")))))</f>
        <v/>
      </c>
      <c r="M40" s="433" t="str">
        <f>IF(L40="","",IF(L40="Leve",0.2,IF(L40="Menor",0.4,IF(L40="Moderado",0.6,IF(L40="Mayor",0.8,IF(L40="Catastrófico",1,))))))</f>
        <v/>
      </c>
      <c r="N40" s="436"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3">
        <v>1</v>
      </c>
      <c r="P40" s="160"/>
      <c r="Q40" s="186" t="str">
        <f>IF(OR(R40="Preventivo",R40="Detectivo"),"Probabilidad",IF(R40="Correctivo","Impacto",""))</f>
        <v/>
      </c>
      <c r="R40" s="146"/>
      <c r="S40" s="146"/>
      <c r="T40" s="127" t="str">
        <f>IF(AND(R40="Preventivo",S40="Automático"),"50%",IF(AND(R40="Preventivo",S40="Manual"),"40%",IF(AND(R40="Detectivo",S40="Automático"),"40%",IF(AND(R40="Detectivo",S40="Manual"),"30%",IF(AND(R40="Correctivo",S40="Automático"),"35%",IF(AND(R40="Correctivo",S40="Manual"),"25%",""))))))</f>
        <v/>
      </c>
      <c r="U40" s="146"/>
      <c r="V40" s="146"/>
      <c r="W40" s="146"/>
      <c r="X40" s="161" t="str">
        <f>IFERROR(IF(Q40="Probabilidad",(I40-(+I40*T40)),IF(Q40="Impacto",I40,"")),"")</f>
        <v/>
      </c>
      <c r="Y40" s="195" t="str">
        <f>IFERROR(IF(X40="","",IF(X40&lt;=0.2,"Muy Baja",IF(X40&lt;=0.4,"Baja",IF(X40&lt;=0.6,"Media",IF(X40&lt;=0.8,"Alta","Muy Alta"))))),"")</f>
        <v/>
      </c>
      <c r="Z40" s="196" t="str">
        <f>+X40</f>
        <v/>
      </c>
      <c r="AA40" s="195" t="str">
        <f>IFERROR(IF(AB40="","",IF(AB40&lt;=0.2,"Leve",IF(AB40&lt;=0.4,"Menor",IF(AB40&lt;=0.6,"Moderado",IF(AB40&lt;=0.8,"Mayor","Catastrófico"))))),"")</f>
        <v/>
      </c>
      <c r="AB40" s="196" t="str">
        <f>IFERROR(IF(Q40="Impacto",(M40-(+M40*T40)),IF(Q40="Probabilidad",M40,"")),"")</f>
        <v/>
      </c>
      <c r="AC40" s="197"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29"/>
      <c r="AE40" s="135"/>
      <c r="AF40" s="152"/>
      <c r="AG40" s="214"/>
      <c r="AH40" s="214"/>
      <c r="AI40" s="131"/>
      <c r="AJ40" s="137"/>
      <c r="AK40" s="137"/>
      <c r="AL40" s="137"/>
      <c r="AM40" s="137"/>
      <c r="AN40" s="137"/>
      <c r="AO40" s="137"/>
      <c r="AP40" s="137"/>
      <c r="AQ40" s="137"/>
      <c r="AR40" s="137"/>
      <c r="AS40" s="137"/>
      <c r="AT40" s="137"/>
      <c r="AU40" s="137"/>
      <c r="AV40" s="137"/>
      <c r="AW40" s="137"/>
      <c r="AX40" s="137"/>
      <c r="AY40" s="137"/>
      <c r="AZ40" s="137"/>
      <c r="BA40" s="137"/>
      <c r="BB40" s="137"/>
      <c r="BC40" s="137"/>
      <c r="BD40" s="137"/>
      <c r="BE40" s="137"/>
      <c r="BF40" s="137"/>
      <c r="BG40" s="137"/>
      <c r="BH40" s="137"/>
      <c r="BI40" s="137"/>
      <c r="BJ40" s="137"/>
      <c r="BK40" s="137"/>
      <c r="BL40" s="137"/>
      <c r="BM40" s="137"/>
      <c r="BN40" s="137"/>
      <c r="BO40" s="137"/>
    </row>
    <row r="41" spans="1:67" ht="21" hidden="1" x14ac:dyDescent="0.35">
      <c r="A41" s="514"/>
      <c r="B41" s="470"/>
      <c r="C41" s="517"/>
      <c r="D41" s="517"/>
      <c r="E41" s="484"/>
      <c r="F41" s="470"/>
      <c r="G41" s="452"/>
      <c r="H41" s="461"/>
      <c r="I41" s="434"/>
      <c r="J41" s="508"/>
      <c r="K41" s="511">
        <f t="shared" ref="K41:K45" ca="1" si="43">IF(NOT(ISERROR(MATCH(J41,_xlfn.ANCHORARRAY(E52),0))),I54&amp;"Por favor no seleccionar los criterios de impacto",J41)</f>
        <v>0</v>
      </c>
      <c r="L41" s="461"/>
      <c r="M41" s="434"/>
      <c r="N41" s="437"/>
      <c r="O41" s="112">
        <v>2</v>
      </c>
      <c r="P41" s="162"/>
      <c r="Q41" s="183" t="str">
        <f>IF(OR(R41="Preventivo",R41="Detectivo"),"Probabilidad",IF(R41="Correctivo","Impacto",""))</f>
        <v/>
      </c>
      <c r="R41" s="124"/>
      <c r="S41" s="124"/>
      <c r="T41" s="139" t="str">
        <f t="shared" ref="T41:T45" si="44">IF(AND(R41="Preventivo",S41="Automático"),"50%",IF(AND(R41="Preventivo",S41="Manual"),"40%",IF(AND(R41="Detectivo",S41="Automático"),"40%",IF(AND(R41="Detectivo",S41="Manual"),"30%",IF(AND(R41="Correctivo",S41="Automático"),"35%",IF(AND(R41="Correctivo",S41="Manual"),"25%",""))))))</f>
        <v/>
      </c>
      <c r="U41" s="124"/>
      <c r="V41" s="124"/>
      <c r="W41" s="124"/>
      <c r="X41" s="163" t="str">
        <f>IFERROR(IF(AND(Q40="Probabilidad",Q41="Probabilidad"),(Z40-(+Z40*T41)),IF(Q41="Probabilidad",(I40-(+I40*T41)),IF(Q41="Impacto",Z40,""))),"")</f>
        <v/>
      </c>
      <c r="Y41" s="190" t="str">
        <f t="shared" si="1"/>
        <v/>
      </c>
      <c r="Z41" s="191" t="str">
        <f t="shared" ref="Z41:Z45" si="45">+X41</f>
        <v/>
      </c>
      <c r="AA41" s="190" t="str">
        <f t="shared" si="3"/>
        <v/>
      </c>
      <c r="AB41" s="191" t="str">
        <f>IFERROR(IF(AND(Q40="Impacto",Q41="Impacto"),(AB40-(+AB40*T41)),IF(Q41="Impacto",(M40-(+M40*T41)),IF(Q41="Probabilidad",AB40,""))),"")</f>
        <v/>
      </c>
      <c r="AC41" s="192" t="str">
        <f t="shared" ref="AC41:AC42" si="46">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3"/>
      <c r="AE41" s="135"/>
      <c r="AF41" s="152"/>
      <c r="AG41" s="215"/>
      <c r="AH41" s="215"/>
      <c r="AI41" s="136"/>
      <c r="AJ41" s="137"/>
      <c r="AK41" s="137"/>
      <c r="AL41" s="137"/>
      <c r="AM41" s="137"/>
      <c r="AN41" s="137"/>
      <c r="AO41" s="137"/>
      <c r="AP41" s="137"/>
      <c r="AQ41" s="137"/>
      <c r="AR41" s="137"/>
      <c r="AS41" s="137"/>
      <c r="AT41" s="137"/>
      <c r="AU41" s="137"/>
      <c r="AV41" s="137"/>
      <c r="AW41" s="137"/>
      <c r="AX41" s="137"/>
      <c r="AY41" s="137"/>
      <c r="AZ41" s="137"/>
      <c r="BA41" s="137"/>
      <c r="BB41" s="137"/>
      <c r="BC41" s="137"/>
      <c r="BD41" s="137"/>
      <c r="BE41" s="137"/>
      <c r="BF41" s="137"/>
      <c r="BG41" s="137"/>
      <c r="BH41" s="137"/>
      <c r="BI41" s="137"/>
      <c r="BJ41" s="137"/>
      <c r="BK41" s="137"/>
      <c r="BL41" s="137"/>
      <c r="BM41" s="137"/>
      <c r="BN41" s="137"/>
      <c r="BO41" s="137"/>
    </row>
    <row r="42" spans="1:67" hidden="1" x14ac:dyDescent="0.35">
      <c r="A42" s="514"/>
      <c r="B42" s="470"/>
      <c r="C42" s="517"/>
      <c r="D42" s="517"/>
      <c r="E42" s="484"/>
      <c r="F42" s="470"/>
      <c r="G42" s="452"/>
      <c r="H42" s="461"/>
      <c r="I42" s="434"/>
      <c r="J42" s="508"/>
      <c r="K42" s="511">
        <f t="shared" ca="1" si="43"/>
        <v>0</v>
      </c>
      <c r="L42" s="461"/>
      <c r="M42" s="434"/>
      <c r="N42" s="437"/>
      <c r="O42" s="165">
        <v>3</v>
      </c>
      <c r="P42" s="166"/>
      <c r="Q42" s="183" t="str">
        <f>IF(OR(R42="Preventivo",R42="Detectivo"),"Probabilidad",IF(R42="Correctivo","Impacto",""))</f>
        <v/>
      </c>
      <c r="R42" s="116"/>
      <c r="S42" s="116"/>
      <c r="T42" s="139" t="str">
        <f t="shared" si="44"/>
        <v/>
      </c>
      <c r="U42" s="116"/>
      <c r="V42" s="116"/>
      <c r="W42" s="116"/>
      <c r="X42" s="163" t="str">
        <f>IFERROR(IF(AND(Q41="Probabilidad",Q42="Probabilidad"),(Z41-(+Z41*T42)),IF(AND(Q41="Impacto",Q42="Probabilidad"),(Z40-(+Z40*T42)),IF(Q42="Impacto",Z41,""))),"")</f>
        <v/>
      </c>
      <c r="Y42" s="190" t="str">
        <f t="shared" si="1"/>
        <v/>
      </c>
      <c r="Z42" s="191" t="str">
        <f t="shared" si="45"/>
        <v/>
      </c>
      <c r="AA42" s="190" t="str">
        <f t="shared" si="3"/>
        <v/>
      </c>
      <c r="AB42" s="191" t="str">
        <f>IFERROR(IF(AND(Q41="Impacto",Q42="Impacto"),(AB41-(+AB41*T42)),IF(AND(Q41="Probabilidad",Q42="Impacto"),(AB40-(+AB40*T42)),IF(Q42="Probabilidad",AB41,""))),"")</f>
        <v/>
      </c>
      <c r="AC42" s="192" t="str">
        <f t="shared" si="46"/>
        <v/>
      </c>
      <c r="AD42" s="133"/>
      <c r="AE42" s="135"/>
      <c r="AF42" s="152"/>
      <c r="AG42" s="215"/>
      <c r="AH42" s="215"/>
      <c r="AI42" s="136"/>
      <c r="AJ42" s="137"/>
      <c r="AK42" s="137"/>
      <c r="AL42" s="137"/>
      <c r="AM42" s="137"/>
      <c r="AN42" s="137"/>
      <c r="AO42" s="137"/>
      <c r="AP42" s="137"/>
      <c r="AQ42" s="137"/>
      <c r="AR42" s="137"/>
      <c r="AS42" s="137"/>
      <c r="AT42" s="137"/>
      <c r="AU42" s="137"/>
      <c r="AV42" s="137"/>
      <c r="AW42" s="137"/>
      <c r="AX42" s="137"/>
      <c r="AY42" s="137"/>
      <c r="AZ42" s="137"/>
      <c r="BA42" s="137"/>
      <c r="BB42" s="137"/>
      <c r="BC42" s="137"/>
      <c r="BD42" s="137"/>
      <c r="BE42" s="137"/>
      <c r="BF42" s="137"/>
      <c r="BG42" s="137"/>
      <c r="BH42" s="137"/>
      <c r="BI42" s="137"/>
      <c r="BJ42" s="137"/>
      <c r="BK42" s="137"/>
      <c r="BL42" s="137"/>
      <c r="BM42" s="137"/>
      <c r="BN42" s="137"/>
      <c r="BO42" s="137"/>
    </row>
    <row r="43" spans="1:67" hidden="1" x14ac:dyDescent="0.35">
      <c r="A43" s="514"/>
      <c r="B43" s="470"/>
      <c r="C43" s="517"/>
      <c r="D43" s="517"/>
      <c r="E43" s="484"/>
      <c r="F43" s="470"/>
      <c r="G43" s="452"/>
      <c r="H43" s="461"/>
      <c r="I43" s="434"/>
      <c r="J43" s="508"/>
      <c r="K43" s="511">
        <f t="shared" ca="1" si="43"/>
        <v>0</v>
      </c>
      <c r="L43" s="461"/>
      <c r="M43" s="434"/>
      <c r="N43" s="437"/>
      <c r="O43" s="165">
        <v>4</v>
      </c>
      <c r="P43" s="168"/>
      <c r="Q43" s="183" t="str">
        <f t="shared" ref="Q43:Q45" si="47">IF(OR(R43="Preventivo",R43="Detectivo"),"Probabilidad",IF(R43="Correctivo","Impacto",""))</f>
        <v/>
      </c>
      <c r="R43" s="116"/>
      <c r="S43" s="116"/>
      <c r="T43" s="139" t="str">
        <f t="shared" si="44"/>
        <v/>
      </c>
      <c r="U43" s="116"/>
      <c r="V43" s="116"/>
      <c r="W43" s="116"/>
      <c r="X43" s="163" t="str">
        <f t="shared" ref="X43:X45" si="48">IFERROR(IF(AND(Q42="Probabilidad",Q43="Probabilidad"),(Z42-(+Z42*T43)),IF(AND(Q42="Impacto",Q43="Probabilidad"),(Z41-(+Z41*T43)),IF(Q43="Impacto",Z42,""))),"")</f>
        <v/>
      </c>
      <c r="Y43" s="190" t="str">
        <f t="shared" si="1"/>
        <v/>
      </c>
      <c r="Z43" s="191" t="str">
        <f t="shared" si="45"/>
        <v/>
      </c>
      <c r="AA43" s="190" t="str">
        <f t="shared" si="3"/>
        <v/>
      </c>
      <c r="AB43" s="191" t="str">
        <f t="shared" ref="AB43:AB45" si="49">IFERROR(IF(AND(Q42="Impacto",Q43="Impacto"),(AB42-(+AB42*T43)),IF(AND(Q42="Probabilidad",Q43="Impacto"),(AB41-(+AB41*T43)),IF(Q43="Probabilidad",AB42,""))),"")</f>
        <v/>
      </c>
      <c r="AC43" s="192"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3"/>
      <c r="AE43" s="164"/>
      <c r="AF43" s="167"/>
      <c r="AG43" s="215"/>
      <c r="AH43" s="215"/>
      <c r="AI43" s="136"/>
      <c r="AJ43" s="137"/>
      <c r="AK43" s="137"/>
      <c r="AL43" s="137"/>
      <c r="AM43" s="137"/>
      <c r="AN43" s="137"/>
      <c r="AO43" s="137"/>
      <c r="AP43" s="137"/>
      <c r="AQ43" s="137"/>
      <c r="AR43" s="137"/>
      <c r="AS43" s="137"/>
      <c r="AT43" s="137"/>
      <c r="AU43" s="137"/>
      <c r="AV43" s="137"/>
      <c r="AW43" s="137"/>
      <c r="AX43" s="137"/>
      <c r="AY43" s="137"/>
      <c r="AZ43" s="137"/>
      <c r="BA43" s="137"/>
      <c r="BB43" s="137"/>
      <c r="BC43" s="137"/>
      <c r="BD43" s="137"/>
      <c r="BE43" s="137"/>
      <c r="BF43" s="137"/>
      <c r="BG43" s="137"/>
      <c r="BH43" s="137"/>
      <c r="BI43" s="137"/>
      <c r="BJ43" s="137"/>
      <c r="BK43" s="137"/>
      <c r="BL43" s="137"/>
      <c r="BM43" s="137"/>
      <c r="BN43" s="137"/>
      <c r="BO43" s="137"/>
    </row>
    <row r="44" spans="1:67" hidden="1" x14ac:dyDescent="0.35">
      <c r="A44" s="514"/>
      <c r="B44" s="470"/>
      <c r="C44" s="517"/>
      <c r="D44" s="517"/>
      <c r="E44" s="484"/>
      <c r="F44" s="470"/>
      <c r="G44" s="452"/>
      <c r="H44" s="461"/>
      <c r="I44" s="434"/>
      <c r="J44" s="508"/>
      <c r="K44" s="511">
        <f t="shared" ca="1" si="43"/>
        <v>0</v>
      </c>
      <c r="L44" s="461"/>
      <c r="M44" s="434"/>
      <c r="N44" s="437"/>
      <c r="O44" s="165">
        <v>5</v>
      </c>
      <c r="P44" s="168"/>
      <c r="Q44" s="183" t="str">
        <f t="shared" si="47"/>
        <v/>
      </c>
      <c r="R44" s="116"/>
      <c r="S44" s="116"/>
      <c r="T44" s="139" t="str">
        <f t="shared" si="44"/>
        <v/>
      </c>
      <c r="U44" s="116"/>
      <c r="V44" s="116"/>
      <c r="W44" s="116"/>
      <c r="X44" s="163" t="str">
        <f t="shared" si="48"/>
        <v/>
      </c>
      <c r="Y44" s="190" t="str">
        <f t="shared" si="1"/>
        <v/>
      </c>
      <c r="Z44" s="191" t="str">
        <f t="shared" si="45"/>
        <v/>
      </c>
      <c r="AA44" s="190" t="str">
        <f t="shared" si="3"/>
        <v/>
      </c>
      <c r="AB44" s="191" t="str">
        <f t="shared" si="49"/>
        <v/>
      </c>
      <c r="AC44" s="192" t="str">
        <f t="shared" ref="AC44" si="50">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3"/>
      <c r="AE44" s="164"/>
      <c r="AF44" s="167"/>
      <c r="AG44" s="215"/>
      <c r="AH44" s="215"/>
      <c r="AI44" s="136"/>
      <c r="AJ44" s="137"/>
      <c r="AK44" s="137"/>
      <c r="AL44" s="137"/>
      <c r="AM44" s="137"/>
      <c r="AN44" s="137"/>
      <c r="AO44" s="137"/>
      <c r="AP44" s="137"/>
      <c r="AQ44" s="137"/>
      <c r="AR44" s="137"/>
      <c r="AS44" s="137"/>
      <c r="AT44" s="137"/>
      <c r="AU44" s="137"/>
      <c r="AV44" s="137"/>
      <c r="AW44" s="137"/>
      <c r="AX44" s="137"/>
      <c r="AY44" s="137"/>
      <c r="AZ44" s="137"/>
      <c r="BA44" s="137"/>
      <c r="BB44" s="137"/>
      <c r="BC44" s="137"/>
      <c r="BD44" s="137"/>
      <c r="BE44" s="137"/>
      <c r="BF44" s="137"/>
      <c r="BG44" s="137"/>
      <c r="BH44" s="137"/>
      <c r="BI44" s="137"/>
      <c r="BJ44" s="137"/>
      <c r="BK44" s="137"/>
      <c r="BL44" s="137"/>
      <c r="BM44" s="137"/>
      <c r="BN44" s="137"/>
      <c r="BO44" s="137"/>
    </row>
    <row r="45" spans="1:67" ht="15" hidden="1" thickBot="1" x14ac:dyDescent="0.4">
      <c r="A45" s="515"/>
      <c r="B45" s="471"/>
      <c r="C45" s="518"/>
      <c r="D45" s="518"/>
      <c r="E45" s="485"/>
      <c r="F45" s="471"/>
      <c r="G45" s="453"/>
      <c r="H45" s="462"/>
      <c r="I45" s="435"/>
      <c r="J45" s="509"/>
      <c r="K45" s="512">
        <f t="shared" ca="1" si="43"/>
        <v>0</v>
      </c>
      <c r="L45" s="462"/>
      <c r="M45" s="435"/>
      <c r="N45" s="438"/>
      <c r="O45" s="169">
        <v>6</v>
      </c>
      <c r="P45" s="170"/>
      <c r="Q45" s="182" t="str">
        <f t="shared" si="47"/>
        <v/>
      </c>
      <c r="R45" s="140"/>
      <c r="S45" s="140"/>
      <c r="T45" s="141" t="str">
        <f t="shared" si="44"/>
        <v/>
      </c>
      <c r="U45" s="140"/>
      <c r="V45" s="140"/>
      <c r="W45" s="140"/>
      <c r="X45" s="171" t="str">
        <f t="shared" si="48"/>
        <v/>
      </c>
      <c r="Y45" s="193" t="str">
        <f t="shared" si="1"/>
        <v/>
      </c>
      <c r="Z45" s="141" t="str">
        <f t="shared" si="45"/>
        <v/>
      </c>
      <c r="AA45" s="193" t="str">
        <f>IFERROR(IF(AB45="","",IF(AB45&lt;=0.2,"Leve",IF(AB45&lt;=0.4,"Menor",IF(AB45&lt;=0.6,"Moderado",IF(AB45&lt;=0.8,"Mayor","Catastrófico"))))),"")</f>
        <v/>
      </c>
      <c r="AB45" s="141" t="str">
        <f t="shared" si="49"/>
        <v/>
      </c>
      <c r="AC45" s="194"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0"/>
      <c r="AE45" s="172"/>
      <c r="AF45" s="173"/>
      <c r="AG45" s="216"/>
      <c r="AH45" s="216"/>
      <c r="AI45" s="145"/>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row>
    <row r="46" spans="1:67" ht="16.5" hidden="1" customHeight="1" x14ac:dyDescent="0.35">
      <c r="A46" s="528"/>
      <c r="B46" s="480"/>
      <c r="C46" s="480"/>
      <c r="D46" s="480"/>
      <c r="E46" s="483"/>
      <c r="F46" s="480"/>
      <c r="G46" s="489"/>
      <c r="H46" s="492" t="str">
        <f>IF(G46&lt;=0,"",IF(G46&lt;=2,"Muy Baja",IF(G46&lt;=24,"Baja",IF(G46&lt;=500,"Media",IF(G46&lt;=5000,"Alta","Muy Alta")))))</f>
        <v/>
      </c>
      <c r="I46" s="495" t="str">
        <f>IF(H46="","",IF(H46="Muy Baja",0.2,IF(H46="Baja",0.4,IF(H46="Media",0.6,IF(H46="Alta",0.8,IF(H46="Muy Alta",1,))))))</f>
        <v/>
      </c>
      <c r="J46" s="498"/>
      <c r="K46" s="501">
        <f>IF(NOT(ISERROR(MATCH(J46,'Tabla Impacto'!$B$221:$B$223,0))),'Tabla Impacto'!$F$223&amp;"Por favor no seleccionar los criterios de impacto(Afectación Económica o presupuestal y Pérdida Reputacional)",J46)</f>
        <v>0</v>
      </c>
      <c r="L46" s="492" t="str">
        <f>IF(OR(K46='Tabla Impacto'!$C$11,K46='Tabla Impacto'!$D$11),"Leve",IF(OR(K46='Tabla Impacto'!$C$12,K46='Tabla Impacto'!$D$12),"Menor",IF(OR(K46='Tabla Impacto'!$C$13,K46='Tabla Impacto'!$D$13),"Moderado",IF(OR(K46='Tabla Impacto'!$C$14,K46='Tabla Impacto'!$D$14),"Mayor",IF(OR(K46='Tabla Impacto'!$C$15,K46='Tabla Impacto'!$D$15),"Catastrófico","")))))</f>
        <v/>
      </c>
      <c r="M46" s="495" t="str">
        <f>IF(L46="","",IF(L46="Leve",0.2,IF(L46="Menor",0.4,IF(L46="Moderado",0.6,IF(L46="Mayor",0.8,IF(L46="Catastrófico",1,))))))</f>
        <v/>
      </c>
      <c r="N46" s="504"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74">
        <v>1</v>
      </c>
      <c r="P46" s="175"/>
      <c r="Q46" s="184" t="str">
        <f>IF(OR(R46="Preventivo",R46="Detectivo"),"Probabilidad",IF(R46="Correctivo","Impacto",""))</f>
        <v/>
      </c>
      <c r="R46" s="121"/>
      <c r="S46" s="121"/>
      <c r="T46" s="122" t="str">
        <f>IF(AND(R46="Preventivo",S46="Automático"),"50%",IF(AND(R46="Preventivo",S46="Manual"),"40%",IF(AND(R46="Detectivo",S46="Automático"),"40%",IF(AND(R46="Detectivo",S46="Manual"),"30%",IF(AND(R46="Correctivo",S46="Automático"),"35%",IF(AND(R46="Correctivo",S46="Manual"),"25%",""))))))</f>
        <v/>
      </c>
      <c r="U46" s="121"/>
      <c r="V46" s="121"/>
      <c r="W46" s="121"/>
      <c r="X46" s="128" t="str">
        <f>IFERROR(IF(Q46="Probabilidad",(I46-(+I46*T46)),IF(Q46="Impacto",I46,"")),"")</f>
        <v/>
      </c>
      <c r="Y46" s="204" t="str">
        <f>IFERROR(IF(X46="","",IF(X46&lt;=0.2,"Muy Baja",IF(X46&lt;=0.4,"Baja",IF(X46&lt;=0.6,"Media",IF(X46&lt;=0.8,"Alta","Muy Alta"))))),"")</f>
        <v/>
      </c>
      <c r="Z46" s="205" t="str">
        <f>+X46</f>
        <v/>
      </c>
      <c r="AA46" s="204" t="str">
        <f>IFERROR(IF(AB46="","",IF(AB46&lt;=0.2,"Leve",IF(AB46&lt;=0.4,"Menor",IF(AB46&lt;=0.6,"Moderado",IF(AB46&lt;=0.8,"Mayor","Catastrófico"))))),"")</f>
        <v/>
      </c>
      <c r="AB46" s="205" t="str">
        <f>IFERROR(IF(Q46="Impacto",(M46-(+M46*T46)),IF(Q46="Probabilidad",M46,"")),"")</f>
        <v/>
      </c>
      <c r="AC46" s="206"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47"/>
      <c r="AE46" s="176"/>
      <c r="AF46" s="180"/>
      <c r="AG46" s="219"/>
      <c r="AH46" s="219"/>
      <c r="AI46" s="131"/>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row>
    <row r="47" spans="1:67" ht="16.5" hidden="1" customHeight="1" x14ac:dyDescent="0.35">
      <c r="A47" s="529"/>
      <c r="B47" s="481"/>
      <c r="C47" s="481"/>
      <c r="D47" s="481"/>
      <c r="E47" s="484"/>
      <c r="F47" s="481"/>
      <c r="G47" s="490"/>
      <c r="H47" s="493"/>
      <c r="I47" s="496"/>
      <c r="J47" s="499"/>
      <c r="K47" s="502">
        <f t="shared" ref="K47:K51" ca="1" si="51">IF(NOT(ISERROR(MATCH(J47,_xlfn.ANCHORARRAY(E58),0))),I60&amp;"Por favor no seleccionar los criterios de impacto",J47)</f>
        <v>0</v>
      </c>
      <c r="L47" s="493"/>
      <c r="M47" s="496"/>
      <c r="N47" s="505"/>
      <c r="O47" s="125">
        <v>2</v>
      </c>
      <c r="P47" s="177"/>
      <c r="Q47" s="187" t="str">
        <f>IF(OR(R47="Preventivo",R47="Detectivo"),"Probabilidad",IF(R47="Correctivo","Impacto",""))</f>
        <v/>
      </c>
      <c r="R47" s="151"/>
      <c r="S47" s="151"/>
      <c r="T47" s="208" t="str">
        <f t="shared" ref="T47:T51" si="52">IF(AND(R47="Preventivo",S47="Automático"),"50%",IF(AND(R47="Preventivo",S47="Manual"),"40%",IF(AND(R47="Detectivo",S47="Automático"),"40%",IF(AND(R47="Detectivo",S47="Manual"),"30%",IF(AND(R47="Correctivo",S47="Automático"),"35%",IF(AND(R47="Correctivo",S47="Manual"),"25%",""))))))</f>
        <v/>
      </c>
      <c r="U47" s="151"/>
      <c r="V47" s="151"/>
      <c r="W47" s="151"/>
      <c r="X47" s="132" t="str">
        <f>IFERROR(IF(AND(Q46="Probabilidad",Q47="Probabilidad"),(Z46-(+Z46*T47)),IF(Q47="Probabilidad",(I46-(+I46*T47)),IF(Q47="Impacto",Z46,""))),"")</f>
        <v/>
      </c>
      <c r="Y47" s="198" t="str">
        <f t="shared" si="1"/>
        <v/>
      </c>
      <c r="Z47" s="199" t="str">
        <f t="shared" ref="Z47:Z51" si="53">+X47</f>
        <v/>
      </c>
      <c r="AA47" s="198" t="str">
        <f t="shared" si="3"/>
        <v/>
      </c>
      <c r="AB47" s="199" t="str">
        <f>IFERROR(IF(AND(Q46="Impacto",Q47="Impacto"),(AB46-(+AB46*T47)),IF(Q47="Impacto",(M46-(+M46*T47)),IF(Q47="Probabilidad",AB46,""))),"")</f>
        <v/>
      </c>
      <c r="AC47" s="200" t="str">
        <f t="shared" ref="AC47:AC48" si="54">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48"/>
      <c r="AE47" s="135"/>
      <c r="AF47" s="152"/>
      <c r="AG47" s="217"/>
      <c r="AH47" s="217"/>
      <c r="AI47" s="153"/>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row>
    <row r="48" spans="1:67" ht="16.5" hidden="1" customHeight="1" x14ac:dyDescent="0.35">
      <c r="A48" s="529"/>
      <c r="B48" s="481"/>
      <c r="C48" s="481"/>
      <c r="D48" s="481"/>
      <c r="E48" s="484"/>
      <c r="F48" s="481"/>
      <c r="G48" s="490"/>
      <c r="H48" s="493"/>
      <c r="I48" s="496"/>
      <c r="J48" s="499"/>
      <c r="K48" s="502">
        <f t="shared" ca="1" si="51"/>
        <v>0</v>
      </c>
      <c r="L48" s="493"/>
      <c r="M48" s="496"/>
      <c r="N48" s="505"/>
      <c r="O48" s="125">
        <v>3</v>
      </c>
      <c r="P48" s="177"/>
      <c r="Q48" s="187" t="str">
        <f>IF(OR(R48="Preventivo",R48="Detectivo"),"Probabilidad",IF(R48="Correctivo","Impacto",""))</f>
        <v/>
      </c>
      <c r="R48" s="151"/>
      <c r="S48" s="151"/>
      <c r="T48" s="208" t="str">
        <f t="shared" si="52"/>
        <v/>
      </c>
      <c r="U48" s="151"/>
      <c r="V48" s="151"/>
      <c r="W48" s="151"/>
      <c r="X48" s="132" t="str">
        <f>IFERROR(IF(AND(Q47="Probabilidad",Q48="Probabilidad"),(Z47-(+Z47*T48)),IF(AND(Q47="Impacto",Q48="Probabilidad"),(Z46-(+Z46*T48)),IF(Q48="Impacto",Z47,""))),"")</f>
        <v/>
      </c>
      <c r="Y48" s="198" t="str">
        <f t="shared" si="1"/>
        <v/>
      </c>
      <c r="Z48" s="199" t="str">
        <f t="shared" si="53"/>
        <v/>
      </c>
      <c r="AA48" s="198" t="str">
        <f t="shared" si="3"/>
        <v/>
      </c>
      <c r="AB48" s="199" t="str">
        <f>IFERROR(IF(AND(Q47="Impacto",Q48="Impacto"),(AB47-(+AB47*T48)),IF(AND(Q47="Probabilidad",Q48="Impacto"),(AB46-(+AB46*T48)),IF(Q48="Probabilidad",AB47,""))),"")</f>
        <v/>
      </c>
      <c r="AC48" s="200" t="str">
        <f t="shared" si="54"/>
        <v/>
      </c>
      <c r="AD48" s="148"/>
      <c r="AE48" s="135"/>
      <c r="AF48" s="152"/>
      <c r="AG48" s="217"/>
      <c r="AH48" s="217"/>
      <c r="AI48" s="153"/>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row>
    <row r="49" spans="1:67" ht="16.5" hidden="1" customHeight="1" x14ac:dyDescent="0.35">
      <c r="A49" s="529"/>
      <c r="B49" s="481"/>
      <c r="C49" s="481"/>
      <c r="D49" s="481"/>
      <c r="E49" s="484"/>
      <c r="F49" s="481"/>
      <c r="G49" s="490"/>
      <c r="H49" s="493"/>
      <c r="I49" s="496"/>
      <c r="J49" s="499"/>
      <c r="K49" s="502">
        <f t="shared" ca="1" si="51"/>
        <v>0</v>
      </c>
      <c r="L49" s="493"/>
      <c r="M49" s="496"/>
      <c r="N49" s="505"/>
      <c r="O49" s="125">
        <v>4</v>
      </c>
      <c r="P49" s="177"/>
      <c r="Q49" s="187" t="str">
        <f t="shared" ref="Q49:Q51" si="55">IF(OR(R49="Preventivo",R49="Detectivo"),"Probabilidad",IF(R49="Correctivo","Impacto",""))</f>
        <v/>
      </c>
      <c r="R49" s="151"/>
      <c r="S49" s="151"/>
      <c r="T49" s="208" t="str">
        <f t="shared" si="52"/>
        <v/>
      </c>
      <c r="U49" s="151"/>
      <c r="V49" s="151"/>
      <c r="W49" s="151"/>
      <c r="X49" s="132" t="str">
        <f t="shared" ref="X49:X51" si="56">IFERROR(IF(AND(Q48="Probabilidad",Q49="Probabilidad"),(Z48-(+Z48*T49)),IF(AND(Q48="Impacto",Q49="Probabilidad"),(Z47-(+Z47*T49)),IF(Q49="Impacto",Z48,""))),"")</f>
        <v/>
      </c>
      <c r="Y49" s="198" t="str">
        <f t="shared" si="1"/>
        <v/>
      </c>
      <c r="Z49" s="199" t="str">
        <f t="shared" si="53"/>
        <v/>
      </c>
      <c r="AA49" s="198" t="str">
        <f t="shared" si="3"/>
        <v/>
      </c>
      <c r="AB49" s="199" t="str">
        <f t="shared" ref="AB49:AB51" si="57">IFERROR(IF(AND(Q48="Impacto",Q49="Impacto"),(AB48-(+AB48*T49)),IF(AND(Q48="Probabilidad",Q49="Impacto"),(AB47-(+AB47*T49)),IF(Q49="Probabilidad",AB48,""))),"")</f>
        <v/>
      </c>
      <c r="AC49" s="200"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48"/>
      <c r="AE49" s="135"/>
      <c r="AF49" s="152"/>
      <c r="AG49" s="217"/>
      <c r="AH49" s="217"/>
      <c r="AI49" s="153"/>
      <c r="AJ49" s="137"/>
      <c r="AK49" s="137"/>
      <c r="AL49" s="137"/>
      <c r="AM49" s="137"/>
      <c r="AN49" s="137"/>
      <c r="AO49" s="137"/>
      <c r="AP49" s="137"/>
      <c r="AQ49" s="137"/>
      <c r="AR49" s="137"/>
      <c r="AS49" s="137"/>
      <c r="AT49" s="137"/>
      <c r="AU49" s="137"/>
      <c r="AV49" s="137"/>
      <c r="AW49" s="137"/>
      <c r="AX49" s="137"/>
      <c r="AY49" s="137"/>
      <c r="AZ49" s="137"/>
      <c r="BA49" s="137"/>
      <c r="BB49" s="137"/>
      <c r="BC49" s="137"/>
      <c r="BD49" s="137"/>
      <c r="BE49" s="137"/>
      <c r="BF49" s="137"/>
      <c r="BG49" s="137"/>
      <c r="BH49" s="137"/>
      <c r="BI49" s="137"/>
      <c r="BJ49" s="137"/>
      <c r="BK49" s="137"/>
      <c r="BL49" s="137"/>
      <c r="BM49" s="137"/>
      <c r="BN49" s="137"/>
      <c r="BO49" s="137"/>
    </row>
    <row r="50" spans="1:67" ht="16.5" hidden="1" customHeight="1" x14ac:dyDescent="0.35">
      <c r="A50" s="529"/>
      <c r="B50" s="481"/>
      <c r="C50" s="481"/>
      <c r="D50" s="481"/>
      <c r="E50" s="484"/>
      <c r="F50" s="481"/>
      <c r="G50" s="490"/>
      <c r="H50" s="493"/>
      <c r="I50" s="496"/>
      <c r="J50" s="499"/>
      <c r="K50" s="502">
        <f t="shared" ca="1" si="51"/>
        <v>0</v>
      </c>
      <c r="L50" s="493"/>
      <c r="M50" s="496"/>
      <c r="N50" s="505"/>
      <c r="O50" s="149">
        <v>5</v>
      </c>
      <c r="P50" s="154"/>
      <c r="Q50" s="187" t="str">
        <f t="shared" si="55"/>
        <v/>
      </c>
      <c r="R50" s="151"/>
      <c r="S50" s="151"/>
      <c r="T50" s="208" t="str">
        <f t="shared" si="52"/>
        <v/>
      </c>
      <c r="U50" s="151"/>
      <c r="V50" s="151"/>
      <c r="W50" s="151"/>
      <c r="X50" s="132" t="str">
        <f t="shared" si="56"/>
        <v/>
      </c>
      <c r="Y50" s="198" t="str">
        <f t="shared" si="1"/>
        <v/>
      </c>
      <c r="Z50" s="199" t="str">
        <f t="shared" si="53"/>
        <v/>
      </c>
      <c r="AA50" s="198" t="str">
        <f t="shared" si="3"/>
        <v/>
      </c>
      <c r="AB50" s="199" t="str">
        <f t="shared" si="57"/>
        <v/>
      </c>
      <c r="AC50" s="200" t="str">
        <f t="shared" ref="AC50:AC51" si="58">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48"/>
      <c r="AE50" s="135"/>
      <c r="AF50" s="152"/>
      <c r="AG50" s="217"/>
      <c r="AH50" s="217"/>
      <c r="AI50" s="153"/>
      <c r="AJ50" s="137"/>
      <c r="AK50" s="137"/>
      <c r="AL50" s="137"/>
      <c r="AM50" s="137"/>
      <c r="AN50" s="137"/>
      <c r="AO50" s="137"/>
      <c r="AP50" s="137"/>
      <c r="AQ50" s="137"/>
      <c r="AR50" s="137"/>
      <c r="AS50" s="137"/>
      <c r="AT50" s="137"/>
      <c r="AU50" s="137"/>
      <c r="AV50" s="137"/>
      <c r="AW50" s="137"/>
      <c r="AX50" s="137"/>
      <c r="AY50" s="137"/>
      <c r="AZ50" s="137"/>
      <c r="BA50" s="137"/>
      <c r="BB50" s="137"/>
      <c r="BC50" s="137"/>
      <c r="BD50" s="137"/>
      <c r="BE50" s="137"/>
      <c r="BF50" s="137"/>
      <c r="BG50" s="137"/>
      <c r="BH50" s="137"/>
      <c r="BI50" s="137"/>
      <c r="BJ50" s="137"/>
      <c r="BK50" s="137"/>
      <c r="BL50" s="137"/>
      <c r="BM50" s="137"/>
      <c r="BN50" s="137"/>
      <c r="BO50" s="137"/>
    </row>
    <row r="51" spans="1:67" ht="17.25" hidden="1" customHeight="1" thickBot="1" x14ac:dyDescent="0.4">
      <c r="A51" s="530"/>
      <c r="B51" s="482"/>
      <c r="C51" s="482"/>
      <c r="D51" s="482"/>
      <c r="E51" s="485"/>
      <c r="F51" s="482"/>
      <c r="G51" s="491"/>
      <c r="H51" s="494"/>
      <c r="I51" s="497"/>
      <c r="J51" s="500"/>
      <c r="K51" s="503">
        <f t="shared" ca="1" si="51"/>
        <v>0</v>
      </c>
      <c r="L51" s="494"/>
      <c r="M51" s="497"/>
      <c r="N51" s="506"/>
      <c r="O51" s="155">
        <v>6</v>
      </c>
      <c r="P51" s="156"/>
      <c r="Q51" s="188" t="str">
        <f t="shared" si="55"/>
        <v/>
      </c>
      <c r="R51" s="157"/>
      <c r="S51" s="157"/>
      <c r="T51" s="202" t="str">
        <f t="shared" si="52"/>
        <v/>
      </c>
      <c r="U51" s="157"/>
      <c r="V51" s="157"/>
      <c r="W51" s="157"/>
      <c r="X51" s="142" t="str">
        <f t="shared" si="56"/>
        <v/>
      </c>
      <c r="Y51" s="201" t="str">
        <f t="shared" si="1"/>
        <v/>
      </c>
      <c r="Z51" s="202" t="str">
        <f t="shared" si="53"/>
        <v/>
      </c>
      <c r="AA51" s="201" t="str">
        <f t="shared" si="3"/>
        <v/>
      </c>
      <c r="AB51" s="202" t="str">
        <f t="shared" si="57"/>
        <v/>
      </c>
      <c r="AC51" s="203" t="str">
        <f t="shared" si="58"/>
        <v/>
      </c>
      <c r="AD51" s="157"/>
      <c r="AE51" s="144"/>
      <c r="AF51" s="158"/>
      <c r="AG51" s="218"/>
      <c r="AH51" s="218"/>
      <c r="AI51" s="159"/>
      <c r="AJ51" s="137"/>
      <c r="AK51" s="137"/>
      <c r="AL51" s="137"/>
      <c r="AM51" s="137"/>
      <c r="AN51" s="137"/>
      <c r="AO51" s="137"/>
      <c r="AP51" s="137"/>
      <c r="AQ51" s="137"/>
      <c r="AR51" s="137"/>
      <c r="AS51" s="137"/>
      <c r="AT51" s="137"/>
      <c r="AU51" s="137"/>
      <c r="AV51" s="137"/>
      <c r="AW51" s="137"/>
      <c r="AX51" s="137"/>
      <c r="AY51" s="137"/>
      <c r="AZ51" s="137"/>
      <c r="BA51" s="137"/>
      <c r="BB51" s="137"/>
      <c r="BC51" s="137"/>
      <c r="BD51" s="137"/>
      <c r="BE51" s="137"/>
      <c r="BF51" s="137"/>
      <c r="BG51" s="137"/>
      <c r="BH51" s="137"/>
      <c r="BI51" s="137"/>
      <c r="BJ51" s="137"/>
      <c r="BK51" s="137"/>
      <c r="BL51" s="137"/>
      <c r="BM51" s="137"/>
      <c r="BN51" s="137"/>
      <c r="BO51" s="137"/>
    </row>
    <row r="52" spans="1:67" hidden="1" x14ac:dyDescent="0.35">
      <c r="A52" s="522"/>
      <c r="B52" s="480"/>
      <c r="C52" s="480"/>
      <c r="D52" s="480"/>
      <c r="E52" s="525"/>
      <c r="F52" s="480"/>
      <c r="G52" s="489"/>
      <c r="H52" s="492" t="str">
        <f>IF(G52&lt;=0,"",IF(G52&lt;=2,"Muy Baja",IF(G52&lt;=24,"Baja",IF(G52&lt;=500,"Media",IF(G52&lt;=5000,"Alta","Muy Alta")))))</f>
        <v/>
      </c>
      <c r="I52" s="495" t="str">
        <f>IF(H52="","",IF(H52="Muy Baja",0.2,IF(H52="Baja",0.4,IF(H52="Media",0.6,IF(H52="Alta",0.8,IF(H52="Muy Alta",1,))))))</f>
        <v/>
      </c>
      <c r="J52" s="498"/>
      <c r="K52" s="501">
        <f>IF(NOT(ISERROR(MATCH(J52,'Tabla Impacto'!$B$221:$B$223,0))),'Tabla Impacto'!$F$223&amp;"Por favor no seleccionar los criterios de impacto(Afectación Económica o presupuestal y Pérdida Reputacional)",J52)</f>
        <v>0</v>
      </c>
      <c r="L52" s="492" t="str">
        <f>IF(OR(K52='Tabla Impacto'!$C$11,K52='Tabla Impacto'!$D$11),"Leve",IF(OR(K52='Tabla Impacto'!$C$12,K52='Tabla Impacto'!$D$12),"Menor",IF(OR(K52='Tabla Impacto'!$C$13,K52='Tabla Impacto'!$D$13),"Moderado",IF(OR(K52='Tabla Impacto'!$C$14,K52='Tabla Impacto'!$D$14),"Mayor",IF(OR(K52='Tabla Impacto'!$C$15,K52='Tabla Impacto'!$D$15),"Catastrófico","")))))</f>
        <v/>
      </c>
      <c r="M52" s="495" t="str">
        <f>IF(L52="","",IF(L52="Leve",0.2,IF(L52="Menor",0.4,IF(L52="Moderado",0.6,IF(L52="Mayor",0.8,IF(L52="Catastrófico",1,))))))</f>
        <v/>
      </c>
      <c r="N52" s="504"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78">
        <v>1</v>
      </c>
      <c r="P52" s="123"/>
      <c r="Q52" s="189" t="str">
        <f>IF(OR(R52="Preventivo",R52="Detectivo"),"Probabilidad",IF(R52="Correctivo","Impacto",""))</f>
        <v/>
      </c>
      <c r="R52" s="179"/>
      <c r="S52" s="179"/>
      <c r="T52" s="209" t="str">
        <f>IF(AND(R52="Preventivo",S52="Automático"),"50%",IF(AND(R52="Preventivo",S52="Manual"),"40%",IF(AND(R52="Detectivo",S52="Automático"),"40%",IF(AND(R52="Detectivo",S52="Manual"),"30%",IF(AND(R52="Correctivo",S52="Automático"),"35%",IF(AND(R52="Correctivo",S52="Manual"),"25%",""))))))</f>
        <v/>
      </c>
      <c r="U52" s="179"/>
      <c r="V52" s="179"/>
      <c r="W52" s="179"/>
      <c r="X52" s="128" t="str">
        <f>IFERROR(IF(Q52="Probabilidad",(I52-(+I52*T52)),IF(Q52="Impacto",I52,"")),"")</f>
        <v/>
      </c>
      <c r="Y52" s="204" t="str">
        <f>IFERROR(IF(X52="","",IF(X52&lt;=0.2,"Muy Baja",IF(X52&lt;=0.4,"Baja",IF(X52&lt;=0.6,"Media",IF(X52&lt;=0.8,"Alta","Muy Alta"))))),"")</f>
        <v/>
      </c>
      <c r="Z52" s="205" t="str">
        <f>+X52</f>
        <v/>
      </c>
      <c r="AA52" s="204" t="str">
        <f>IFERROR(IF(AB52="","",IF(AB52&lt;=0.2,"Leve",IF(AB52&lt;=0.4,"Menor",IF(AB52&lt;=0.6,"Moderado",IF(AB52&lt;=0.8,"Mayor","Catastrófico"))))),"")</f>
        <v/>
      </c>
      <c r="AB52" s="205" t="str">
        <f>IFERROR(IF(Q52="Impacto",(M52-(+M52*T52)),IF(Q52="Probabilidad",M52,"")),"")</f>
        <v/>
      </c>
      <c r="AC52" s="206"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47"/>
      <c r="AE52" s="130"/>
      <c r="AF52" s="180"/>
      <c r="AG52" s="219"/>
      <c r="AH52" s="219"/>
      <c r="AI52" s="181"/>
      <c r="AJ52" s="137"/>
      <c r="AK52" s="137"/>
      <c r="AL52" s="137"/>
      <c r="AM52" s="137"/>
      <c r="AN52" s="137"/>
      <c r="AO52" s="137"/>
      <c r="AP52" s="137"/>
      <c r="AQ52" s="137"/>
      <c r="AR52" s="137"/>
      <c r="AS52" s="137"/>
      <c r="AT52" s="137"/>
      <c r="AU52" s="137"/>
      <c r="AV52" s="137"/>
      <c r="AW52" s="137"/>
      <c r="AX52" s="137"/>
      <c r="AY52" s="137"/>
      <c r="AZ52" s="137"/>
      <c r="BA52" s="137"/>
      <c r="BB52" s="137"/>
      <c r="BC52" s="137"/>
      <c r="BD52" s="137"/>
      <c r="BE52" s="137"/>
      <c r="BF52" s="137"/>
      <c r="BG52" s="137"/>
      <c r="BH52" s="137"/>
      <c r="BI52" s="137"/>
      <c r="BJ52" s="137"/>
      <c r="BK52" s="137"/>
      <c r="BL52" s="137"/>
      <c r="BM52" s="137"/>
      <c r="BN52" s="137"/>
      <c r="BO52" s="137"/>
    </row>
    <row r="53" spans="1:67" hidden="1" x14ac:dyDescent="0.35">
      <c r="A53" s="523"/>
      <c r="B53" s="481"/>
      <c r="C53" s="481"/>
      <c r="D53" s="481"/>
      <c r="E53" s="526"/>
      <c r="F53" s="481"/>
      <c r="G53" s="490"/>
      <c r="H53" s="493"/>
      <c r="I53" s="496"/>
      <c r="J53" s="499"/>
      <c r="K53" s="502">
        <f ca="1">IF(NOT(ISERROR(MATCH(J53,_xlfn.ANCHORARRAY(E64),0))),I66&amp;"Por favor no seleccionar los criterios de impacto",J53)</f>
        <v>0</v>
      </c>
      <c r="L53" s="493"/>
      <c r="M53" s="496"/>
      <c r="N53" s="505"/>
      <c r="O53" s="149">
        <v>2</v>
      </c>
      <c r="P53" s="154"/>
      <c r="Q53" s="187" t="str">
        <f>IF(OR(R53="Preventivo",R53="Detectivo"),"Probabilidad",IF(R53="Correctivo","Impacto",""))</f>
        <v/>
      </c>
      <c r="R53" s="151"/>
      <c r="S53" s="151"/>
      <c r="T53" s="208" t="str">
        <f t="shared" ref="T53:T57" si="59">IF(AND(R53="Preventivo",S53="Automático"),"50%",IF(AND(R53="Preventivo",S53="Manual"),"40%",IF(AND(R53="Detectivo",S53="Automático"),"40%",IF(AND(R53="Detectivo",S53="Manual"),"30%",IF(AND(R53="Correctivo",S53="Automático"),"35%",IF(AND(R53="Correctivo",S53="Manual"),"25%",""))))))</f>
        <v/>
      </c>
      <c r="U53" s="151"/>
      <c r="V53" s="151"/>
      <c r="W53" s="151"/>
      <c r="X53" s="132" t="str">
        <f>IFERROR(IF(AND(Q52="Probabilidad",Q53="Probabilidad"),(Z52-(+Z52*T53)),IF(Q53="Probabilidad",(I52-(+I52*T53)),IF(Q53="Impacto",Z52,""))),"")</f>
        <v/>
      </c>
      <c r="Y53" s="198" t="str">
        <f t="shared" si="1"/>
        <v/>
      </c>
      <c r="Z53" s="199" t="str">
        <f t="shared" ref="Z53:Z57" si="60">+X53</f>
        <v/>
      </c>
      <c r="AA53" s="198" t="str">
        <f t="shared" si="3"/>
        <v/>
      </c>
      <c r="AB53" s="199" t="str">
        <f>IFERROR(IF(AND(Q52="Impacto",Q53="Impacto"),(AB52-(+AB52*T53)),IF(Q53="Impacto",(M52-(+M52*T53)),IF(Q53="Probabilidad",AB52,""))),"")</f>
        <v/>
      </c>
      <c r="AC53" s="200" t="str">
        <f t="shared" ref="AC53:AC54" si="61">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48"/>
      <c r="AE53" s="135"/>
      <c r="AF53" s="152"/>
      <c r="AG53" s="217"/>
      <c r="AH53" s="217"/>
      <c r="AI53" s="153"/>
      <c r="AJ53" s="137"/>
      <c r="AK53" s="137"/>
      <c r="AL53" s="137"/>
      <c r="AM53" s="137"/>
      <c r="AN53" s="137"/>
      <c r="AO53" s="137"/>
      <c r="AP53" s="137"/>
      <c r="AQ53" s="137"/>
      <c r="AR53" s="137"/>
      <c r="AS53" s="137"/>
      <c r="AT53" s="137"/>
      <c r="AU53" s="137"/>
      <c r="AV53" s="137"/>
      <c r="AW53" s="137"/>
      <c r="AX53" s="137"/>
      <c r="AY53" s="137"/>
      <c r="AZ53" s="137"/>
      <c r="BA53" s="137"/>
      <c r="BB53" s="137"/>
      <c r="BC53" s="137"/>
      <c r="BD53" s="137"/>
      <c r="BE53" s="137"/>
      <c r="BF53" s="137"/>
      <c r="BG53" s="137"/>
      <c r="BH53" s="137"/>
      <c r="BI53" s="137"/>
      <c r="BJ53" s="137"/>
      <c r="BK53" s="137"/>
      <c r="BL53" s="137"/>
      <c r="BM53" s="137"/>
      <c r="BN53" s="137"/>
      <c r="BO53" s="137"/>
    </row>
    <row r="54" spans="1:67" hidden="1" x14ac:dyDescent="0.35">
      <c r="A54" s="523"/>
      <c r="B54" s="481"/>
      <c r="C54" s="481"/>
      <c r="D54" s="481"/>
      <c r="E54" s="526"/>
      <c r="F54" s="481"/>
      <c r="G54" s="490"/>
      <c r="H54" s="493"/>
      <c r="I54" s="496"/>
      <c r="J54" s="499"/>
      <c r="K54" s="502">
        <f ca="1">IF(NOT(ISERROR(MATCH(J54,_xlfn.ANCHORARRAY(E65),0))),I67&amp;"Por favor no seleccionar los criterios de impacto",J54)</f>
        <v>0</v>
      </c>
      <c r="L54" s="493"/>
      <c r="M54" s="496"/>
      <c r="N54" s="505"/>
      <c r="O54" s="149">
        <v>3</v>
      </c>
      <c r="P54" s="150"/>
      <c r="Q54" s="187" t="str">
        <f>IF(OR(R54="Preventivo",R54="Detectivo"),"Probabilidad",IF(R54="Correctivo","Impacto",""))</f>
        <v/>
      </c>
      <c r="R54" s="151"/>
      <c r="S54" s="151"/>
      <c r="T54" s="208" t="str">
        <f t="shared" si="59"/>
        <v/>
      </c>
      <c r="U54" s="151"/>
      <c r="V54" s="151"/>
      <c r="W54" s="151"/>
      <c r="X54" s="132" t="str">
        <f>IFERROR(IF(AND(Q53="Probabilidad",Q54="Probabilidad"),(Z53-(+Z53*T54)),IF(AND(Q53="Impacto",Q54="Probabilidad"),(Z52-(+Z52*T54)),IF(Q54="Impacto",Z53,""))),"")</f>
        <v/>
      </c>
      <c r="Y54" s="198" t="str">
        <f t="shared" si="1"/>
        <v/>
      </c>
      <c r="Z54" s="199" t="str">
        <f t="shared" si="60"/>
        <v/>
      </c>
      <c r="AA54" s="198" t="str">
        <f t="shared" si="3"/>
        <v/>
      </c>
      <c r="AB54" s="199" t="str">
        <f>IFERROR(IF(AND(Q53="Impacto",Q54="Impacto"),(AB53-(+AB53*T54)),IF(AND(Q53="Probabilidad",Q54="Impacto"),(AB52-(+AB52*T54)),IF(Q54="Probabilidad",AB53,""))),"")</f>
        <v/>
      </c>
      <c r="AC54" s="200" t="str">
        <f t="shared" si="61"/>
        <v/>
      </c>
      <c r="AD54" s="148"/>
      <c r="AE54" s="135"/>
      <c r="AF54" s="152"/>
      <c r="AG54" s="217"/>
      <c r="AH54" s="217"/>
      <c r="AI54" s="153"/>
      <c r="AJ54" s="137"/>
      <c r="AK54" s="137"/>
      <c r="AL54" s="137"/>
      <c r="AM54" s="137"/>
      <c r="AN54" s="137"/>
      <c r="AO54" s="137"/>
      <c r="AP54" s="137"/>
      <c r="AQ54" s="137"/>
      <c r="AR54" s="137"/>
      <c r="AS54" s="137"/>
      <c r="AT54" s="137"/>
      <c r="AU54" s="137"/>
      <c r="AV54" s="137"/>
      <c r="AW54" s="137"/>
      <c r="AX54" s="137"/>
      <c r="AY54" s="137"/>
      <c r="AZ54" s="137"/>
      <c r="BA54" s="137"/>
      <c r="BB54" s="137"/>
      <c r="BC54" s="137"/>
      <c r="BD54" s="137"/>
      <c r="BE54" s="137"/>
      <c r="BF54" s="137"/>
      <c r="BG54" s="137"/>
      <c r="BH54" s="137"/>
      <c r="BI54" s="137"/>
      <c r="BJ54" s="137"/>
      <c r="BK54" s="137"/>
      <c r="BL54" s="137"/>
      <c r="BM54" s="137"/>
      <c r="BN54" s="137"/>
      <c r="BO54" s="137"/>
    </row>
    <row r="55" spans="1:67" hidden="1" x14ac:dyDescent="0.35">
      <c r="A55" s="523"/>
      <c r="B55" s="481"/>
      <c r="C55" s="481"/>
      <c r="D55" s="481"/>
      <c r="E55" s="526"/>
      <c r="F55" s="481"/>
      <c r="G55" s="490"/>
      <c r="H55" s="493"/>
      <c r="I55" s="496"/>
      <c r="J55" s="499"/>
      <c r="K55" s="502">
        <f ca="1">IF(NOT(ISERROR(MATCH(J55,_xlfn.ANCHORARRAY(E66),0))),I68&amp;"Por favor no seleccionar los criterios de impacto",J55)</f>
        <v>0</v>
      </c>
      <c r="L55" s="493"/>
      <c r="M55" s="496"/>
      <c r="N55" s="505"/>
      <c r="O55" s="149">
        <v>4</v>
      </c>
      <c r="P55" s="154"/>
      <c r="Q55" s="187" t="str">
        <f t="shared" ref="Q55:Q57" si="62">IF(OR(R55="Preventivo",R55="Detectivo"),"Probabilidad",IF(R55="Correctivo","Impacto",""))</f>
        <v/>
      </c>
      <c r="R55" s="151"/>
      <c r="S55" s="151"/>
      <c r="T55" s="208" t="str">
        <f t="shared" si="59"/>
        <v/>
      </c>
      <c r="U55" s="151"/>
      <c r="V55" s="151"/>
      <c r="W55" s="151"/>
      <c r="X55" s="132" t="str">
        <f t="shared" ref="X55:X57" si="63">IFERROR(IF(AND(Q54="Probabilidad",Q55="Probabilidad"),(Z54-(+Z54*T55)),IF(AND(Q54="Impacto",Q55="Probabilidad"),(Z53-(+Z53*T55)),IF(Q55="Impacto",Z54,""))),"")</f>
        <v/>
      </c>
      <c r="Y55" s="198" t="str">
        <f t="shared" si="1"/>
        <v/>
      </c>
      <c r="Z55" s="199" t="str">
        <f t="shared" si="60"/>
        <v/>
      </c>
      <c r="AA55" s="198" t="str">
        <f t="shared" si="3"/>
        <v/>
      </c>
      <c r="AB55" s="199" t="str">
        <f t="shared" ref="AB55:AB57" si="64">IFERROR(IF(AND(Q54="Impacto",Q55="Impacto"),(AB54-(+AB54*T55)),IF(AND(Q54="Probabilidad",Q55="Impacto"),(AB53-(+AB53*T55)),IF(Q55="Probabilidad",AB54,""))),"")</f>
        <v/>
      </c>
      <c r="AC55" s="200"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48"/>
      <c r="AE55" s="135"/>
      <c r="AF55" s="152"/>
      <c r="AG55" s="217"/>
      <c r="AH55" s="217"/>
      <c r="AI55" s="153"/>
      <c r="AJ55" s="137"/>
      <c r="AK55" s="137"/>
      <c r="AL55" s="137"/>
      <c r="AM55" s="137"/>
      <c r="AN55" s="137"/>
      <c r="AO55" s="137"/>
      <c r="AP55" s="137"/>
      <c r="AQ55" s="137"/>
      <c r="AR55" s="137"/>
      <c r="AS55" s="137"/>
      <c r="AT55" s="137"/>
      <c r="AU55" s="137"/>
      <c r="AV55" s="137"/>
      <c r="AW55" s="137"/>
      <c r="AX55" s="137"/>
      <c r="AY55" s="137"/>
      <c r="AZ55" s="137"/>
      <c r="BA55" s="137"/>
      <c r="BB55" s="137"/>
      <c r="BC55" s="137"/>
      <c r="BD55" s="137"/>
      <c r="BE55" s="137"/>
      <c r="BF55" s="137"/>
      <c r="BG55" s="137"/>
      <c r="BH55" s="137"/>
      <c r="BI55" s="137"/>
      <c r="BJ55" s="137"/>
      <c r="BK55" s="137"/>
      <c r="BL55" s="137"/>
      <c r="BM55" s="137"/>
      <c r="BN55" s="137"/>
      <c r="BO55" s="137"/>
    </row>
    <row r="56" spans="1:67" hidden="1" x14ac:dyDescent="0.35">
      <c r="A56" s="523"/>
      <c r="B56" s="481"/>
      <c r="C56" s="481"/>
      <c r="D56" s="481"/>
      <c r="E56" s="526"/>
      <c r="F56" s="481"/>
      <c r="G56" s="490"/>
      <c r="H56" s="493"/>
      <c r="I56" s="496"/>
      <c r="J56" s="499"/>
      <c r="K56" s="502">
        <f ca="1">IF(NOT(ISERROR(MATCH(J56,_xlfn.ANCHORARRAY(E67),0))),I69&amp;"Por favor no seleccionar los criterios de impacto",J56)</f>
        <v>0</v>
      </c>
      <c r="L56" s="493"/>
      <c r="M56" s="496"/>
      <c r="N56" s="505"/>
      <c r="O56" s="149">
        <v>5</v>
      </c>
      <c r="P56" s="154"/>
      <c r="Q56" s="187" t="str">
        <f t="shared" si="62"/>
        <v/>
      </c>
      <c r="R56" s="151"/>
      <c r="S56" s="151"/>
      <c r="T56" s="208" t="str">
        <f t="shared" si="59"/>
        <v/>
      </c>
      <c r="U56" s="151"/>
      <c r="V56" s="151"/>
      <c r="W56" s="151"/>
      <c r="X56" s="132" t="str">
        <f t="shared" si="63"/>
        <v/>
      </c>
      <c r="Y56" s="198" t="str">
        <f t="shared" si="1"/>
        <v/>
      </c>
      <c r="Z56" s="199" t="str">
        <f t="shared" si="60"/>
        <v/>
      </c>
      <c r="AA56" s="198" t="str">
        <f t="shared" si="3"/>
        <v/>
      </c>
      <c r="AB56" s="199" t="str">
        <f t="shared" si="64"/>
        <v/>
      </c>
      <c r="AC56" s="200" t="str">
        <f t="shared" ref="AC56:AC57" si="65">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48"/>
      <c r="AE56" s="135"/>
      <c r="AF56" s="152"/>
      <c r="AG56" s="217"/>
      <c r="AH56" s="217"/>
      <c r="AI56" s="153"/>
      <c r="AJ56" s="137"/>
      <c r="AK56" s="137"/>
      <c r="AL56" s="137"/>
      <c r="AM56" s="137"/>
      <c r="AN56" s="137"/>
      <c r="AO56" s="137"/>
      <c r="AP56" s="137"/>
      <c r="AQ56" s="137"/>
      <c r="AR56" s="137"/>
      <c r="AS56" s="137"/>
      <c r="AT56" s="137"/>
      <c r="AU56" s="137"/>
      <c r="AV56" s="137"/>
      <c r="AW56" s="137"/>
      <c r="AX56" s="137"/>
      <c r="AY56" s="137"/>
      <c r="AZ56" s="137"/>
      <c r="BA56" s="137"/>
      <c r="BB56" s="137"/>
      <c r="BC56" s="137"/>
      <c r="BD56" s="137"/>
      <c r="BE56" s="137"/>
      <c r="BF56" s="137"/>
      <c r="BG56" s="137"/>
      <c r="BH56" s="137"/>
      <c r="BI56" s="137"/>
      <c r="BJ56" s="137"/>
      <c r="BK56" s="137"/>
      <c r="BL56" s="137"/>
      <c r="BM56" s="137"/>
      <c r="BN56" s="137"/>
      <c r="BO56" s="137"/>
    </row>
    <row r="57" spans="1:67" ht="15" hidden="1" thickBot="1" x14ac:dyDescent="0.4">
      <c r="A57" s="524"/>
      <c r="B57" s="482"/>
      <c r="C57" s="482"/>
      <c r="D57" s="482"/>
      <c r="E57" s="527"/>
      <c r="F57" s="482"/>
      <c r="G57" s="491"/>
      <c r="H57" s="494"/>
      <c r="I57" s="497"/>
      <c r="J57" s="500"/>
      <c r="K57" s="503">
        <f ca="1">IF(NOT(ISERROR(MATCH(J57,_xlfn.ANCHORARRAY(E68),0))),I70&amp;"Por favor no seleccionar los criterios de impacto",J57)</f>
        <v>0</v>
      </c>
      <c r="L57" s="494"/>
      <c r="M57" s="497"/>
      <c r="N57" s="506"/>
      <c r="O57" s="155">
        <v>6</v>
      </c>
      <c r="P57" s="156"/>
      <c r="Q57" s="188" t="str">
        <f t="shared" si="62"/>
        <v/>
      </c>
      <c r="R57" s="157"/>
      <c r="S57" s="157"/>
      <c r="T57" s="202" t="str">
        <f t="shared" si="59"/>
        <v/>
      </c>
      <c r="U57" s="157"/>
      <c r="V57" s="157"/>
      <c r="W57" s="157"/>
      <c r="X57" s="142" t="str">
        <f t="shared" si="63"/>
        <v/>
      </c>
      <c r="Y57" s="201" t="str">
        <f t="shared" si="1"/>
        <v/>
      </c>
      <c r="Z57" s="202" t="str">
        <f t="shared" si="60"/>
        <v/>
      </c>
      <c r="AA57" s="201" t="str">
        <f t="shared" si="3"/>
        <v/>
      </c>
      <c r="AB57" s="202" t="str">
        <f t="shared" si="64"/>
        <v/>
      </c>
      <c r="AC57" s="203" t="str">
        <f t="shared" si="65"/>
        <v/>
      </c>
      <c r="AD57" s="157"/>
      <c r="AE57" s="144"/>
      <c r="AF57" s="158"/>
      <c r="AG57" s="218"/>
      <c r="AH57" s="218"/>
      <c r="AI57" s="159"/>
      <c r="AJ57" s="137"/>
      <c r="AK57" s="137"/>
      <c r="AL57" s="137"/>
      <c r="AM57" s="137"/>
      <c r="AN57" s="137"/>
      <c r="AO57" s="137"/>
      <c r="AP57" s="137"/>
      <c r="AQ57" s="137"/>
      <c r="AR57" s="137"/>
      <c r="AS57" s="137"/>
      <c r="AT57" s="137"/>
      <c r="AU57" s="137"/>
      <c r="AV57" s="137"/>
      <c r="AW57" s="137"/>
      <c r="AX57" s="137"/>
      <c r="AY57" s="137"/>
      <c r="AZ57" s="137"/>
      <c r="BA57" s="137"/>
      <c r="BB57" s="137"/>
      <c r="BC57" s="137"/>
      <c r="BD57" s="137"/>
      <c r="BE57" s="137"/>
      <c r="BF57" s="137"/>
      <c r="BG57" s="137"/>
      <c r="BH57" s="137"/>
      <c r="BI57" s="137"/>
      <c r="BJ57" s="137"/>
      <c r="BK57" s="137"/>
      <c r="BL57" s="137"/>
      <c r="BM57" s="137"/>
      <c r="BN57" s="137"/>
      <c r="BO57" s="137"/>
    </row>
    <row r="58" spans="1:67" hidden="1" x14ac:dyDescent="0.35">
      <c r="A58" s="522"/>
      <c r="B58" s="480"/>
      <c r="C58" s="480"/>
      <c r="D58" s="480"/>
      <c r="E58" s="531"/>
      <c r="F58" s="480"/>
      <c r="G58" s="489"/>
      <c r="H58" s="492" t="str">
        <f>IF(G58&lt;=0,"",IF(G58&lt;=2,"Muy Baja",IF(G58&lt;=24,"Baja",IF(G58&lt;=500,"Media",IF(G58&lt;=5000,"Alta","Muy Alta")))))</f>
        <v/>
      </c>
      <c r="I58" s="495" t="str">
        <f>IF(H58="","",IF(H58="Muy Baja",0.2,IF(H58="Baja",0.4,IF(H58="Media",0.6,IF(H58="Alta",0.8,IF(H58="Muy Alta",1,))))))</f>
        <v/>
      </c>
      <c r="J58" s="498"/>
      <c r="K58" s="501">
        <f>IF(NOT(ISERROR(MATCH(J58,'Tabla Impacto'!$B$221:$B$223,0))),'Tabla Impacto'!$F$223&amp;"Por favor no seleccionar los criterios de impacto(Afectación Económica o presupuestal y Pérdida Reputacional)",J58)</f>
        <v>0</v>
      </c>
      <c r="L58" s="492" t="str">
        <f>IF(OR(K58='Tabla Impacto'!$C$11,K58='Tabla Impacto'!$D$11),"Leve",IF(OR(K58='Tabla Impacto'!$C$12,K58='Tabla Impacto'!$D$12),"Menor",IF(OR(K58='Tabla Impacto'!$C$13,K58='Tabla Impacto'!$D$13),"Moderado",IF(OR(K58='Tabla Impacto'!$C$14,K58='Tabla Impacto'!$D$14),"Mayor",IF(OR(K58='Tabla Impacto'!$C$15,K58='Tabla Impacto'!$D$15),"Catastrófico","")))))</f>
        <v/>
      </c>
      <c r="M58" s="495" t="str">
        <f>IF(L58="","",IF(L58="Leve",0.2,IF(L58="Menor",0.4,IF(L58="Moderado",0.6,IF(L58="Mayor",0.8,IF(L58="Catastrófico",1,))))))</f>
        <v/>
      </c>
      <c r="N58" s="504"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78">
        <v>1</v>
      </c>
      <c r="P58" s="123"/>
      <c r="Q58" s="189" t="str">
        <f>IF(OR(R58="Preventivo",R58="Detectivo"),"Probabilidad",IF(R58="Correctivo","Impacto",""))</f>
        <v/>
      </c>
      <c r="R58" s="179"/>
      <c r="S58" s="179"/>
      <c r="T58" s="209" t="str">
        <f>IF(AND(R58="Preventivo",S58="Automático"),"50%",IF(AND(R58="Preventivo",S58="Manual"),"40%",IF(AND(R58="Detectivo",S58="Automático"),"40%",IF(AND(R58="Detectivo",S58="Manual"),"30%",IF(AND(R58="Correctivo",S58="Automático"),"35%",IF(AND(R58="Correctivo",S58="Manual"),"25%",""))))))</f>
        <v/>
      </c>
      <c r="U58" s="179"/>
      <c r="V58" s="179"/>
      <c r="W58" s="179"/>
      <c r="X58" s="128" t="str">
        <f>IFERROR(IF(Q58="Probabilidad",(I58-(+I58*T58)),IF(Q58="Impacto",I58,"")),"")</f>
        <v/>
      </c>
      <c r="Y58" s="204" t="str">
        <f>IFERROR(IF(X58="","",IF(X58&lt;=0.2,"Muy Baja",IF(X58&lt;=0.4,"Baja",IF(X58&lt;=0.6,"Media",IF(X58&lt;=0.8,"Alta","Muy Alta"))))),"")</f>
        <v/>
      </c>
      <c r="Z58" s="205" t="str">
        <f>+X58</f>
        <v/>
      </c>
      <c r="AA58" s="204" t="str">
        <f>IFERROR(IF(AB58="","",IF(AB58&lt;=0.2,"Leve",IF(AB58&lt;=0.4,"Menor",IF(AB58&lt;=0.6,"Moderado",IF(AB58&lt;=0.8,"Mayor","Catastrófico"))))),"")</f>
        <v/>
      </c>
      <c r="AB58" s="205" t="str">
        <f>IFERROR(IF(Q58="Impacto",(M58-(+M58*T58)),IF(Q58="Probabilidad",M58,"")),"")</f>
        <v/>
      </c>
      <c r="AC58" s="206"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47"/>
      <c r="AE58" s="130"/>
      <c r="AF58" s="180"/>
      <c r="AG58" s="219"/>
      <c r="AH58" s="219"/>
      <c r="AI58" s="181"/>
      <c r="AJ58" s="137"/>
      <c r="AK58" s="137"/>
      <c r="AL58" s="137"/>
      <c r="AM58" s="137"/>
      <c r="AN58" s="137"/>
      <c r="AO58" s="137"/>
      <c r="AP58" s="137"/>
      <c r="AQ58" s="137"/>
      <c r="AR58" s="137"/>
      <c r="AS58" s="137"/>
      <c r="AT58" s="137"/>
      <c r="AU58" s="137"/>
      <c r="AV58" s="137"/>
      <c r="AW58" s="137"/>
      <c r="AX58" s="137"/>
      <c r="AY58" s="137"/>
      <c r="AZ58" s="137"/>
      <c r="BA58" s="137"/>
      <c r="BB58" s="137"/>
      <c r="BC58" s="137"/>
      <c r="BD58" s="137"/>
      <c r="BE58" s="137"/>
      <c r="BF58" s="137"/>
      <c r="BG58" s="137"/>
      <c r="BH58" s="137"/>
      <c r="BI58" s="137"/>
      <c r="BJ58" s="137"/>
      <c r="BK58" s="137"/>
      <c r="BL58" s="137"/>
      <c r="BM58" s="137"/>
      <c r="BN58" s="137"/>
      <c r="BO58" s="137"/>
    </row>
    <row r="59" spans="1:67" hidden="1" x14ac:dyDescent="0.35">
      <c r="A59" s="523"/>
      <c r="B59" s="481"/>
      <c r="C59" s="481"/>
      <c r="D59" s="481"/>
      <c r="E59" s="532"/>
      <c r="F59" s="481"/>
      <c r="G59" s="490"/>
      <c r="H59" s="493"/>
      <c r="I59" s="496"/>
      <c r="J59" s="499"/>
      <c r="K59" s="502">
        <f ca="1">IF(NOT(ISERROR(MATCH(J59,_xlfn.ANCHORARRAY(E70),0))),I72&amp;"Por favor no seleccionar los criterios de impacto",J59)</f>
        <v>0</v>
      </c>
      <c r="L59" s="493"/>
      <c r="M59" s="496"/>
      <c r="N59" s="505"/>
      <c r="O59" s="149">
        <v>2</v>
      </c>
      <c r="P59" s="154"/>
      <c r="Q59" s="187" t="str">
        <f>IF(OR(R59="Preventivo",R59="Detectivo"),"Probabilidad",IF(R59="Correctivo","Impacto",""))</f>
        <v/>
      </c>
      <c r="R59" s="151"/>
      <c r="S59" s="151"/>
      <c r="T59" s="208" t="str">
        <f t="shared" ref="T59:T63" si="66">IF(AND(R59="Preventivo",S59="Automático"),"50%",IF(AND(R59="Preventivo",S59="Manual"),"40%",IF(AND(R59="Detectivo",S59="Automático"),"40%",IF(AND(R59="Detectivo",S59="Manual"),"30%",IF(AND(R59="Correctivo",S59="Automático"),"35%",IF(AND(R59="Correctivo",S59="Manual"),"25%",""))))))</f>
        <v/>
      </c>
      <c r="U59" s="151"/>
      <c r="V59" s="151"/>
      <c r="W59" s="151"/>
      <c r="X59" s="132" t="str">
        <f>IFERROR(IF(AND(Q58="Probabilidad",Q59="Probabilidad"),(Z58-(+Z58*T59)),IF(Q59="Probabilidad",(I58-(+I58*T59)),IF(Q59="Impacto",Z58,""))),"")</f>
        <v/>
      </c>
      <c r="Y59" s="198" t="str">
        <f t="shared" si="1"/>
        <v/>
      </c>
      <c r="Z59" s="199" t="str">
        <f t="shared" ref="Z59:Z63" si="67">+X59</f>
        <v/>
      </c>
      <c r="AA59" s="198" t="str">
        <f t="shared" si="3"/>
        <v/>
      </c>
      <c r="AB59" s="199" t="str">
        <f>IFERROR(IF(AND(Q58="Impacto",Q59="Impacto"),(AB58-(+AB58*T59)),IF(Q59="Impacto",(M58-(+M58*T59)),IF(Q59="Probabilidad",AB58,""))),"")</f>
        <v/>
      </c>
      <c r="AC59" s="200" t="str">
        <f t="shared" ref="AC59:AC60" si="68">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48"/>
      <c r="AE59" s="135"/>
      <c r="AF59" s="152"/>
      <c r="AG59" s="217"/>
      <c r="AH59" s="217"/>
      <c r="AI59" s="153"/>
      <c r="AJ59" s="137"/>
      <c r="AK59" s="137"/>
      <c r="AL59" s="137"/>
      <c r="AM59" s="137"/>
      <c r="AN59" s="137"/>
      <c r="AO59" s="137"/>
      <c r="AP59" s="137"/>
      <c r="AQ59" s="137"/>
      <c r="AR59" s="137"/>
      <c r="AS59" s="137"/>
      <c r="AT59" s="137"/>
      <c r="AU59" s="137"/>
      <c r="AV59" s="137"/>
      <c r="AW59" s="137"/>
      <c r="AX59" s="137"/>
      <c r="AY59" s="137"/>
      <c r="AZ59" s="137"/>
      <c r="BA59" s="137"/>
      <c r="BB59" s="137"/>
      <c r="BC59" s="137"/>
      <c r="BD59" s="137"/>
      <c r="BE59" s="137"/>
      <c r="BF59" s="137"/>
      <c r="BG59" s="137"/>
      <c r="BH59" s="137"/>
      <c r="BI59" s="137"/>
      <c r="BJ59" s="137"/>
      <c r="BK59" s="137"/>
      <c r="BL59" s="137"/>
      <c r="BM59" s="137"/>
      <c r="BN59" s="137"/>
      <c r="BO59" s="137"/>
    </row>
    <row r="60" spans="1:67" hidden="1" x14ac:dyDescent="0.35">
      <c r="A60" s="523"/>
      <c r="B60" s="481"/>
      <c r="C60" s="481"/>
      <c r="D60" s="481"/>
      <c r="E60" s="532"/>
      <c r="F60" s="481"/>
      <c r="G60" s="490"/>
      <c r="H60" s="493"/>
      <c r="I60" s="496"/>
      <c r="J60" s="499"/>
      <c r="K60" s="502">
        <f ca="1">IF(NOT(ISERROR(MATCH(J60,_xlfn.ANCHORARRAY(E71),0))),I73&amp;"Por favor no seleccionar los criterios de impacto",J60)</f>
        <v>0</v>
      </c>
      <c r="L60" s="493"/>
      <c r="M60" s="496"/>
      <c r="N60" s="505"/>
      <c r="O60" s="149">
        <v>3</v>
      </c>
      <c r="P60" s="150"/>
      <c r="Q60" s="187" t="str">
        <f>IF(OR(R60="Preventivo",R60="Detectivo"),"Probabilidad",IF(R60="Correctivo","Impacto",""))</f>
        <v/>
      </c>
      <c r="R60" s="151"/>
      <c r="S60" s="151"/>
      <c r="T60" s="208" t="str">
        <f t="shared" si="66"/>
        <v/>
      </c>
      <c r="U60" s="151"/>
      <c r="V60" s="151"/>
      <c r="W60" s="151"/>
      <c r="X60" s="132" t="str">
        <f>IFERROR(IF(AND(Q59="Probabilidad",Q60="Probabilidad"),(Z59-(+Z59*T60)),IF(AND(Q59="Impacto",Q60="Probabilidad"),(Z58-(+Z58*T60)),IF(Q60="Impacto",Z59,""))),"")</f>
        <v/>
      </c>
      <c r="Y60" s="198" t="str">
        <f t="shared" si="1"/>
        <v/>
      </c>
      <c r="Z60" s="199" t="str">
        <f t="shared" si="67"/>
        <v/>
      </c>
      <c r="AA60" s="198" t="str">
        <f t="shared" si="3"/>
        <v/>
      </c>
      <c r="AB60" s="199" t="str">
        <f>IFERROR(IF(AND(Q59="Impacto",Q60="Impacto"),(AB59-(+AB59*T60)),IF(AND(Q59="Probabilidad",Q60="Impacto"),(AB58-(+AB58*T60)),IF(Q60="Probabilidad",AB59,""))),"")</f>
        <v/>
      </c>
      <c r="AC60" s="200" t="str">
        <f t="shared" si="68"/>
        <v/>
      </c>
      <c r="AD60" s="148"/>
      <c r="AE60" s="135"/>
      <c r="AF60" s="152"/>
      <c r="AG60" s="217"/>
      <c r="AH60" s="217"/>
      <c r="AI60" s="153"/>
      <c r="AJ60" s="137"/>
      <c r="AK60" s="137"/>
      <c r="AL60" s="137"/>
      <c r="AM60" s="137"/>
      <c r="AN60" s="137"/>
      <c r="AO60" s="137"/>
      <c r="AP60" s="137"/>
      <c r="AQ60" s="137"/>
      <c r="AR60" s="137"/>
      <c r="AS60" s="137"/>
      <c r="AT60" s="137"/>
      <c r="AU60" s="137"/>
      <c r="AV60" s="137"/>
      <c r="AW60" s="137"/>
      <c r="AX60" s="137"/>
      <c r="AY60" s="137"/>
      <c r="AZ60" s="137"/>
      <c r="BA60" s="137"/>
      <c r="BB60" s="137"/>
      <c r="BC60" s="137"/>
      <c r="BD60" s="137"/>
      <c r="BE60" s="137"/>
      <c r="BF60" s="137"/>
      <c r="BG60" s="137"/>
      <c r="BH60" s="137"/>
      <c r="BI60" s="137"/>
      <c r="BJ60" s="137"/>
      <c r="BK60" s="137"/>
      <c r="BL60" s="137"/>
      <c r="BM60" s="137"/>
      <c r="BN60" s="137"/>
      <c r="BO60" s="137"/>
    </row>
    <row r="61" spans="1:67" hidden="1" x14ac:dyDescent="0.35">
      <c r="A61" s="523"/>
      <c r="B61" s="481"/>
      <c r="C61" s="481"/>
      <c r="D61" s="481"/>
      <c r="E61" s="532"/>
      <c r="F61" s="481"/>
      <c r="G61" s="490"/>
      <c r="H61" s="493"/>
      <c r="I61" s="496"/>
      <c r="J61" s="499"/>
      <c r="K61" s="502">
        <f ca="1">IF(NOT(ISERROR(MATCH(J61,_xlfn.ANCHORARRAY(E72),0))),I74&amp;"Por favor no seleccionar los criterios de impacto",J61)</f>
        <v>0</v>
      </c>
      <c r="L61" s="493"/>
      <c r="M61" s="496"/>
      <c r="N61" s="505"/>
      <c r="O61" s="149">
        <v>4</v>
      </c>
      <c r="P61" s="154"/>
      <c r="Q61" s="187" t="str">
        <f t="shared" ref="Q61:Q63" si="69">IF(OR(R61="Preventivo",R61="Detectivo"),"Probabilidad",IF(R61="Correctivo","Impacto",""))</f>
        <v/>
      </c>
      <c r="R61" s="151"/>
      <c r="S61" s="151"/>
      <c r="T61" s="208" t="str">
        <f t="shared" si="66"/>
        <v/>
      </c>
      <c r="U61" s="151"/>
      <c r="V61" s="151"/>
      <c r="W61" s="151"/>
      <c r="X61" s="132" t="str">
        <f t="shared" ref="X61:X63" si="70">IFERROR(IF(AND(Q60="Probabilidad",Q61="Probabilidad"),(Z60-(+Z60*T61)),IF(AND(Q60="Impacto",Q61="Probabilidad"),(Z59-(+Z59*T61)),IF(Q61="Impacto",Z60,""))),"")</f>
        <v/>
      </c>
      <c r="Y61" s="198" t="str">
        <f t="shared" si="1"/>
        <v/>
      </c>
      <c r="Z61" s="199" t="str">
        <f t="shared" si="67"/>
        <v/>
      </c>
      <c r="AA61" s="198" t="str">
        <f t="shared" si="3"/>
        <v/>
      </c>
      <c r="AB61" s="199" t="str">
        <f t="shared" ref="AB61:AB63" si="71">IFERROR(IF(AND(Q60="Impacto",Q61="Impacto"),(AB60-(+AB60*T61)),IF(AND(Q60="Probabilidad",Q61="Impacto"),(AB59-(+AB59*T61)),IF(Q61="Probabilidad",AB60,""))),"")</f>
        <v/>
      </c>
      <c r="AC61" s="200"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48"/>
      <c r="AE61" s="135"/>
      <c r="AF61" s="152"/>
      <c r="AG61" s="217"/>
      <c r="AH61" s="217"/>
      <c r="AI61" s="153"/>
      <c r="AJ61" s="137"/>
      <c r="AK61" s="137"/>
      <c r="AL61" s="137"/>
      <c r="AM61" s="137"/>
      <c r="AN61" s="137"/>
      <c r="AO61" s="137"/>
      <c r="AP61" s="137"/>
      <c r="AQ61" s="137"/>
      <c r="AR61" s="137"/>
      <c r="AS61" s="137"/>
      <c r="AT61" s="137"/>
      <c r="AU61" s="137"/>
      <c r="AV61" s="137"/>
      <c r="AW61" s="137"/>
      <c r="AX61" s="137"/>
      <c r="AY61" s="137"/>
      <c r="AZ61" s="137"/>
      <c r="BA61" s="137"/>
      <c r="BB61" s="137"/>
      <c r="BC61" s="137"/>
      <c r="BD61" s="137"/>
      <c r="BE61" s="137"/>
      <c r="BF61" s="137"/>
      <c r="BG61" s="137"/>
      <c r="BH61" s="137"/>
      <c r="BI61" s="137"/>
      <c r="BJ61" s="137"/>
      <c r="BK61" s="137"/>
      <c r="BL61" s="137"/>
      <c r="BM61" s="137"/>
      <c r="BN61" s="137"/>
      <c r="BO61" s="137"/>
    </row>
    <row r="62" spans="1:67" hidden="1" x14ac:dyDescent="0.35">
      <c r="A62" s="523"/>
      <c r="B62" s="481"/>
      <c r="C62" s="481"/>
      <c r="D62" s="481"/>
      <c r="E62" s="532"/>
      <c r="F62" s="481"/>
      <c r="G62" s="490"/>
      <c r="H62" s="493"/>
      <c r="I62" s="496"/>
      <c r="J62" s="499"/>
      <c r="K62" s="502">
        <f ca="1">IF(NOT(ISERROR(MATCH(J62,_xlfn.ANCHORARRAY(E73),0))),I75&amp;"Por favor no seleccionar los criterios de impacto",J62)</f>
        <v>0</v>
      </c>
      <c r="L62" s="493"/>
      <c r="M62" s="496"/>
      <c r="N62" s="505"/>
      <c r="O62" s="149">
        <v>5</v>
      </c>
      <c r="P62" s="154"/>
      <c r="Q62" s="187" t="str">
        <f t="shared" si="69"/>
        <v/>
      </c>
      <c r="R62" s="151"/>
      <c r="S62" s="151"/>
      <c r="T62" s="208" t="str">
        <f t="shared" si="66"/>
        <v/>
      </c>
      <c r="U62" s="151"/>
      <c r="V62" s="151"/>
      <c r="W62" s="151"/>
      <c r="X62" s="132" t="str">
        <f t="shared" si="70"/>
        <v/>
      </c>
      <c r="Y62" s="198" t="str">
        <f t="shared" si="1"/>
        <v/>
      </c>
      <c r="Z62" s="199" t="str">
        <f t="shared" si="67"/>
        <v/>
      </c>
      <c r="AA62" s="198" t="str">
        <f t="shared" si="3"/>
        <v/>
      </c>
      <c r="AB62" s="199" t="str">
        <f t="shared" si="71"/>
        <v/>
      </c>
      <c r="AC62" s="200" t="str">
        <f t="shared" ref="AC62:AC63" si="72">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48"/>
      <c r="AE62" s="135"/>
      <c r="AF62" s="152"/>
      <c r="AG62" s="217"/>
      <c r="AH62" s="217"/>
      <c r="AI62" s="153"/>
      <c r="AJ62" s="137"/>
      <c r="AK62" s="137"/>
      <c r="AL62" s="137"/>
      <c r="AM62" s="137"/>
      <c r="AN62" s="137"/>
      <c r="AO62" s="137"/>
      <c r="AP62" s="137"/>
      <c r="AQ62" s="137"/>
      <c r="AR62" s="137"/>
      <c r="AS62" s="137"/>
      <c r="AT62" s="137"/>
      <c r="AU62" s="137"/>
      <c r="AV62" s="137"/>
      <c r="AW62" s="137"/>
      <c r="AX62" s="137"/>
      <c r="AY62" s="137"/>
      <c r="AZ62" s="137"/>
      <c r="BA62" s="137"/>
      <c r="BB62" s="137"/>
      <c r="BC62" s="137"/>
      <c r="BD62" s="137"/>
      <c r="BE62" s="137"/>
      <c r="BF62" s="137"/>
      <c r="BG62" s="137"/>
      <c r="BH62" s="137"/>
      <c r="BI62" s="137"/>
      <c r="BJ62" s="137"/>
      <c r="BK62" s="137"/>
      <c r="BL62" s="137"/>
      <c r="BM62" s="137"/>
      <c r="BN62" s="137"/>
      <c r="BO62" s="137"/>
    </row>
    <row r="63" spans="1:67" ht="15" hidden="1" thickBot="1" x14ac:dyDescent="0.4">
      <c r="A63" s="524"/>
      <c r="B63" s="482"/>
      <c r="C63" s="482"/>
      <c r="D63" s="482"/>
      <c r="E63" s="533"/>
      <c r="F63" s="482"/>
      <c r="G63" s="491"/>
      <c r="H63" s="494"/>
      <c r="I63" s="497"/>
      <c r="J63" s="500"/>
      <c r="K63" s="503">
        <f ca="1">IF(NOT(ISERROR(MATCH(J63,_xlfn.ANCHORARRAY(E74),0))),I76&amp;"Por favor no seleccionar los criterios de impacto",J63)</f>
        <v>0</v>
      </c>
      <c r="L63" s="494"/>
      <c r="M63" s="497"/>
      <c r="N63" s="506"/>
      <c r="O63" s="155">
        <v>6</v>
      </c>
      <c r="P63" s="156"/>
      <c r="Q63" s="188" t="str">
        <f t="shared" si="69"/>
        <v/>
      </c>
      <c r="R63" s="157"/>
      <c r="S63" s="157"/>
      <c r="T63" s="202" t="str">
        <f t="shared" si="66"/>
        <v/>
      </c>
      <c r="U63" s="157"/>
      <c r="V63" s="157"/>
      <c r="W63" s="157"/>
      <c r="X63" s="142" t="str">
        <f t="shared" si="70"/>
        <v/>
      </c>
      <c r="Y63" s="201" t="str">
        <f t="shared" si="1"/>
        <v/>
      </c>
      <c r="Z63" s="202" t="str">
        <f t="shared" si="67"/>
        <v/>
      </c>
      <c r="AA63" s="201" t="str">
        <f t="shared" si="3"/>
        <v/>
      </c>
      <c r="AB63" s="202" t="str">
        <f t="shared" si="71"/>
        <v/>
      </c>
      <c r="AC63" s="203" t="str">
        <f t="shared" si="72"/>
        <v/>
      </c>
      <c r="AD63" s="157"/>
      <c r="AE63" s="144"/>
      <c r="AF63" s="158"/>
      <c r="AG63" s="218"/>
      <c r="AH63" s="218"/>
      <c r="AI63" s="159"/>
      <c r="AJ63" s="137"/>
      <c r="AK63" s="137"/>
      <c r="AL63" s="137"/>
      <c r="AM63" s="137"/>
      <c r="AN63" s="137"/>
      <c r="AO63" s="137"/>
      <c r="AP63" s="137"/>
      <c r="AQ63" s="137"/>
      <c r="AR63" s="137"/>
      <c r="AS63" s="137"/>
      <c r="AT63" s="137"/>
      <c r="AU63" s="137"/>
      <c r="AV63" s="137"/>
      <c r="AW63" s="137"/>
      <c r="AX63" s="137"/>
      <c r="AY63" s="137"/>
      <c r="AZ63" s="137"/>
      <c r="BA63" s="137"/>
      <c r="BB63" s="137"/>
      <c r="BC63" s="137"/>
      <c r="BD63" s="137"/>
      <c r="BE63" s="137"/>
      <c r="BF63" s="137"/>
      <c r="BG63" s="137"/>
      <c r="BH63" s="137"/>
      <c r="BI63" s="137"/>
      <c r="BJ63" s="137"/>
      <c r="BK63" s="137"/>
      <c r="BL63" s="137"/>
      <c r="BM63" s="137"/>
      <c r="BN63" s="137"/>
      <c r="BO63" s="137"/>
    </row>
    <row r="64" spans="1:67" hidden="1" x14ac:dyDescent="0.35">
      <c r="A64" s="522"/>
      <c r="B64" s="480"/>
      <c r="C64" s="480"/>
      <c r="D64" s="480"/>
      <c r="E64" s="531"/>
      <c r="F64" s="480"/>
      <c r="G64" s="489"/>
      <c r="H64" s="492" t="str">
        <f>IF(G64&lt;=0,"",IF(G64&lt;=2,"Muy Baja",IF(G64&lt;=24,"Baja",IF(G64&lt;=500,"Media",IF(G64&lt;=5000,"Alta","Muy Alta")))))</f>
        <v/>
      </c>
      <c r="I64" s="495" t="str">
        <f>IF(H64="","",IF(H64="Muy Baja",0.2,IF(H64="Baja",0.4,IF(H64="Media",0.6,IF(H64="Alta",0.8,IF(H64="Muy Alta",1,))))))</f>
        <v/>
      </c>
      <c r="J64" s="498"/>
      <c r="K64" s="501">
        <f>IF(NOT(ISERROR(MATCH(J64,'Tabla Impacto'!$B$221:$B$223,0))),'Tabla Impacto'!$F$223&amp;"Por favor no seleccionar los criterios de impacto(Afectación Económica o presupuestal y Pérdida Reputacional)",J64)</f>
        <v>0</v>
      </c>
      <c r="L64" s="492" t="str">
        <f>IF(OR(K64='Tabla Impacto'!$C$11,K64='Tabla Impacto'!$D$11),"Leve",IF(OR(K64='Tabla Impacto'!$C$12,K64='Tabla Impacto'!$D$12),"Menor",IF(OR(K64='Tabla Impacto'!$C$13,K64='Tabla Impacto'!$D$13),"Moderado",IF(OR(K64='Tabla Impacto'!$C$14,K64='Tabla Impacto'!$D$14),"Mayor",IF(OR(K64='Tabla Impacto'!$C$15,K64='Tabla Impacto'!$D$15),"Catastrófico","")))))</f>
        <v/>
      </c>
      <c r="M64" s="495" t="str">
        <f>IF(L64="","",IF(L64="Leve",0.2,IF(L64="Menor",0.4,IF(L64="Moderado",0.6,IF(L64="Mayor",0.8,IF(L64="Catastrófico",1,))))))</f>
        <v/>
      </c>
      <c r="N64" s="504"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78">
        <v>1</v>
      </c>
      <c r="P64" s="123"/>
      <c r="Q64" s="189" t="str">
        <f>IF(OR(R64="Preventivo",R64="Detectivo"),"Probabilidad",IF(R64="Correctivo","Impacto",""))</f>
        <v/>
      </c>
      <c r="R64" s="179"/>
      <c r="S64" s="179"/>
      <c r="T64" s="209" t="str">
        <f>IF(AND(R64="Preventivo",S64="Automático"),"50%",IF(AND(R64="Preventivo",S64="Manual"),"40%",IF(AND(R64="Detectivo",S64="Automático"),"40%",IF(AND(R64="Detectivo",S64="Manual"),"30%",IF(AND(R64="Correctivo",S64="Automático"),"35%",IF(AND(R64="Correctivo",S64="Manual"),"25%",""))))))</f>
        <v/>
      </c>
      <c r="U64" s="179"/>
      <c r="V64" s="179"/>
      <c r="W64" s="179"/>
      <c r="X64" s="128" t="str">
        <f>IFERROR(IF(Q64="Probabilidad",(I64-(+I64*T64)),IF(Q64="Impacto",I64,"")),"")</f>
        <v/>
      </c>
      <c r="Y64" s="204" t="str">
        <f>IFERROR(IF(X64="","",IF(X64&lt;=0.2,"Muy Baja",IF(X64&lt;=0.4,"Baja",IF(X64&lt;=0.6,"Media",IF(X64&lt;=0.8,"Alta","Muy Alta"))))),"")</f>
        <v/>
      </c>
      <c r="Z64" s="205" t="str">
        <f>+X64</f>
        <v/>
      </c>
      <c r="AA64" s="204" t="str">
        <f>IFERROR(IF(AB64="","",IF(AB64&lt;=0.2,"Leve",IF(AB64&lt;=0.4,"Menor",IF(AB64&lt;=0.6,"Moderado",IF(AB64&lt;=0.8,"Mayor","Catastrófico"))))),"")</f>
        <v/>
      </c>
      <c r="AB64" s="205" t="str">
        <f>IFERROR(IF(Q64="Impacto",(M64-(+M64*T64)),IF(Q64="Probabilidad",M64,"")),"")</f>
        <v/>
      </c>
      <c r="AC64" s="206"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47"/>
      <c r="AE64" s="130"/>
      <c r="AF64" s="180"/>
      <c r="AG64" s="219"/>
      <c r="AH64" s="219"/>
      <c r="AI64" s="181"/>
      <c r="AJ64" s="137"/>
      <c r="AK64" s="137"/>
      <c r="AL64" s="137"/>
      <c r="AM64" s="137"/>
      <c r="AN64" s="137"/>
      <c r="AO64" s="137"/>
      <c r="AP64" s="137"/>
      <c r="AQ64" s="137"/>
      <c r="AR64" s="137"/>
      <c r="AS64" s="137"/>
      <c r="AT64" s="137"/>
      <c r="AU64" s="137"/>
      <c r="AV64" s="137"/>
      <c r="AW64" s="137"/>
      <c r="AX64" s="137"/>
      <c r="AY64" s="137"/>
      <c r="AZ64" s="137"/>
      <c r="BA64" s="137"/>
      <c r="BB64" s="137"/>
      <c r="BC64" s="137"/>
      <c r="BD64" s="137"/>
      <c r="BE64" s="137"/>
      <c r="BF64" s="137"/>
      <c r="BG64" s="137"/>
      <c r="BH64" s="137"/>
      <c r="BI64" s="137"/>
      <c r="BJ64" s="137"/>
      <c r="BK64" s="137"/>
      <c r="BL64" s="137"/>
      <c r="BM64" s="137"/>
      <c r="BN64" s="137"/>
      <c r="BO64" s="137"/>
    </row>
    <row r="65" spans="1:35" hidden="1" x14ac:dyDescent="0.35">
      <c r="A65" s="523"/>
      <c r="B65" s="481"/>
      <c r="C65" s="481"/>
      <c r="D65" s="481"/>
      <c r="E65" s="532"/>
      <c r="F65" s="481"/>
      <c r="G65" s="490"/>
      <c r="H65" s="493"/>
      <c r="I65" s="496"/>
      <c r="J65" s="499"/>
      <c r="K65" s="502">
        <f ca="1">IF(NOT(ISERROR(MATCH(J65,_xlfn.ANCHORARRAY(E76),0))),I78&amp;"Por favor no seleccionar los criterios de impacto",J65)</f>
        <v>0</v>
      </c>
      <c r="L65" s="493"/>
      <c r="M65" s="496"/>
      <c r="N65" s="505"/>
      <c r="O65" s="149">
        <v>2</v>
      </c>
      <c r="P65" s="154"/>
      <c r="Q65" s="187" t="str">
        <f>IF(OR(R65="Preventivo",R65="Detectivo"),"Probabilidad",IF(R65="Correctivo","Impacto",""))</f>
        <v/>
      </c>
      <c r="R65" s="151"/>
      <c r="S65" s="151"/>
      <c r="T65" s="208" t="str">
        <f t="shared" ref="T65:T69" si="73">IF(AND(R65="Preventivo",S65="Automático"),"50%",IF(AND(R65="Preventivo",S65="Manual"),"40%",IF(AND(R65="Detectivo",S65="Automático"),"40%",IF(AND(R65="Detectivo",S65="Manual"),"30%",IF(AND(R65="Correctivo",S65="Automático"),"35%",IF(AND(R65="Correctivo",S65="Manual"),"25%",""))))))</f>
        <v/>
      </c>
      <c r="U65" s="151"/>
      <c r="V65" s="151"/>
      <c r="W65" s="151"/>
      <c r="X65" s="132" t="str">
        <f>IFERROR(IF(AND(Q64="Probabilidad",Q65="Probabilidad"),(Z64-(+Z64*T65)),IF(Q65="Probabilidad",(I64-(+I64*T65)),IF(Q65="Impacto",Z64,""))),"")</f>
        <v/>
      </c>
      <c r="Y65" s="198" t="str">
        <f t="shared" si="1"/>
        <v/>
      </c>
      <c r="Z65" s="199" t="str">
        <f t="shared" ref="Z65:Z69" si="74">+X65</f>
        <v/>
      </c>
      <c r="AA65" s="198" t="str">
        <f t="shared" si="3"/>
        <v/>
      </c>
      <c r="AB65" s="199" t="str">
        <f>IFERROR(IF(AND(Q64="Impacto",Q65="Impacto"),(AB64-(+AB64*T65)),IF(Q65="Impacto",(M64-(+M64*T65)),IF(Q65="Probabilidad",AB64,""))),"")</f>
        <v/>
      </c>
      <c r="AC65" s="200" t="str">
        <f t="shared" ref="AC65:AC66" si="75">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48"/>
      <c r="AE65" s="135"/>
      <c r="AF65" s="152"/>
      <c r="AG65" s="217"/>
      <c r="AH65" s="217"/>
      <c r="AI65" s="153"/>
    </row>
    <row r="66" spans="1:35" hidden="1" x14ac:dyDescent="0.35">
      <c r="A66" s="523"/>
      <c r="B66" s="481"/>
      <c r="C66" s="481"/>
      <c r="D66" s="481"/>
      <c r="E66" s="532"/>
      <c r="F66" s="481"/>
      <c r="G66" s="490"/>
      <c r="H66" s="493"/>
      <c r="I66" s="496"/>
      <c r="J66" s="499"/>
      <c r="K66" s="502">
        <f ca="1">IF(NOT(ISERROR(MATCH(J66,_xlfn.ANCHORARRAY(E77),0))),I79&amp;"Por favor no seleccionar los criterios de impacto",J66)</f>
        <v>0</v>
      </c>
      <c r="L66" s="493"/>
      <c r="M66" s="496"/>
      <c r="N66" s="505"/>
      <c r="O66" s="149">
        <v>3</v>
      </c>
      <c r="P66" s="150"/>
      <c r="Q66" s="187" t="str">
        <f>IF(OR(R66="Preventivo",R66="Detectivo"),"Probabilidad",IF(R66="Correctivo","Impacto",""))</f>
        <v/>
      </c>
      <c r="R66" s="151"/>
      <c r="S66" s="151"/>
      <c r="T66" s="208" t="str">
        <f t="shared" si="73"/>
        <v/>
      </c>
      <c r="U66" s="151"/>
      <c r="V66" s="151"/>
      <c r="W66" s="151"/>
      <c r="X66" s="132" t="str">
        <f>IFERROR(IF(AND(Q65="Probabilidad",Q66="Probabilidad"),(Z65-(+Z65*T66)),IF(AND(Q65="Impacto",Q66="Probabilidad"),(Z64-(+Z64*T66)),IF(Q66="Impacto",Z65,""))),"")</f>
        <v/>
      </c>
      <c r="Y66" s="198" t="str">
        <f t="shared" si="1"/>
        <v/>
      </c>
      <c r="Z66" s="199" t="str">
        <f t="shared" si="74"/>
        <v/>
      </c>
      <c r="AA66" s="198" t="str">
        <f t="shared" si="3"/>
        <v/>
      </c>
      <c r="AB66" s="199" t="str">
        <f>IFERROR(IF(AND(Q65="Impacto",Q66="Impacto"),(AB65-(+AB65*T66)),IF(AND(Q65="Probabilidad",Q66="Impacto"),(AB64-(+AB64*T66)),IF(Q66="Probabilidad",AB65,""))),"")</f>
        <v/>
      </c>
      <c r="AC66" s="200" t="str">
        <f t="shared" si="75"/>
        <v/>
      </c>
      <c r="AD66" s="148"/>
      <c r="AE66" s="135"/>
      <c r="AF66" s="152"/>
      <c r="AG66" s="217"/>
      <c r="AH66" s="217"/>
      <c r="AI66" s="153"/>
    </row>
    <row r="67" spans="1:35" hidden="1" x14ac:dyDescent="0.35">
      <c r="A67" s="523"/>
      <c r="B67" s="481"/>
      <c r="C67" s="481"/>
      <c r="D67" s="481"/>
      <c r="E67" s="532"/>
      <c r="F67" s="481"/>
      <c r="G67" s="490"/>
      <c r="H67" s="493"/>
      <c r="I67" s="496"/>
      <c r="J67" s="499"/>
      <c r="K67" s="502">
        <f ca="1">IF(NOT(ISERROR(MATCH(J67,_xlfn.ANCHORARRAY(E78),0))),I80&amp;"Por favor no seleccionar los criterios de impacto",J67)</f>
        <v>0</v>
      </c>
      <c r="L67" s="493"/>
      <c r="M67" s="496"/>
      <c r="N67" s="505"/>
      <c r="O67" s="149">
        <v>4</v>
      </c>
      <c r="P67" s="154"/>
      <c r="Q67" s="187" t="str">
        <f t="shared" ref="Q67:Q69" si="76">IF(OR(R67="Preventivo",R67="Detectivo"),"Probabilidad",IF(R67="Correctivo","Impacto",""))</f>
        <v/>
      </c>
      <c r="R67" s="151"/>
      <c r="S67" s="151"/>
      <c r="T67" s="208" t="str">
        <f t="shared" si="73"/>
        <v/>
      </c>
      <c r="U67" s="151"/>
      <c r="V67" s="151"/>
      <c r="W67" s="151"/>
      <c r="X67" s="132" t="str">
        <f t="shared" ref="X67:X69" si="77">IFERROR(IF(AND(Q66="Probabilidad",Q67="Probabilidad"),(Z66-(+Z66*T67)),IF(AND(Q66="Impacto",Q67="Probabilidad"),(Z65-(+Z65*T67)),IF(Q67="Impacto",Z66,""))),"")</f>
        <v/>
      </c>
      <c r="Y67" s="198" t="str">
        <f t="shared" si="1"/>
        <v/>
      </c>
      <c r="Z67" s="199" t="str">
        <f t="shared" si="74"/>
        <v/>
      </c>
      <c r="AA67" s="198" t="str">
        <f t="shared" si="3"/>
        <v/>
      </c>
      <c r="AB67" s="199" t="str">
        <f t="shared" ref="AB67:AB69" si="78">IFERROR(IF(AND(Q66="Impacto",Q67="Impacto"),(AB66-(+AB66*T67)),IF(AND(Q66="Probabilidad",Q67="Impacto"),(AB65-(+AB65*T67)),IF(Q67="Probabilidad",AB66,""))),"")</f>
        <v/>
      </c>
      <c r="AC67" s="200"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48"/>
      <c r="AE67" s="135"/>
      <c r="AF67" s="152"/>
      <c r="AG67" s="217"/>
      <c r="AH67" s="217"/>
      <c r="AI67" s="153"/>
    </row>
    <row r="68" spans="1:35" hidden="1" x14ac:dyDescent="0.35">
      <c r="A68" s="523"/>
      <c r="B68" s="481"/>
      <c r="C68" s="481"/>
      <c r="D68" s="481"/>
      <c r="E68" s="532"/>
      <c r="F68" s="481"/>
      <c r="G68" s="490"/>
      <c r="H68" s="493"/>
      <c r="I68" s="496"/>
      <c r="J68" s="499"/>
      <c r="K68" s="502">
        <f ca="1">IF(NOT(ISERROR(MATCH(J68,_xlfn.ANCHORARRAY(E79),0))),I81&amp;"Por favor no seleccionar los criterios de impacto",J68)</f>
        <v>0</v>
      </c>
      <c r="L68" s="493"/>
      <c r="M68" s="496"/>
      <c r="N68" s="505"/>
      <c r="O68" s="149">
        <v>5</v>
      </c>
      <c r="P68" s="154"/>
      <c r="Q68" s="187" t="str">
        <f t="shared" si="76"/>
        <v/>
      </c>
      <c r="R68" s="151"/>
      <c r="S68" s="151"/>
      <c r="T68" s="208" t="str">
        <f t="shared" si="73"/>
        <v/>
      </c>
      <c r="U68" s="151"/>
      <c r="V68" s="151"/>
      <c r="W68" s="151"/>
      <c r="X68" s="132" t="str">
        <f t="shared" si="77"/>
        <v/>
      </c>
      <c r="Y68" s="198" t="str">
        <f t="shared" si="1"/>
        <v/>
      </c>
      <c r="Z68" s="199" t="str">
        <f t="shared" si="74"/>
        <v/>
      </c>
      <c r="AA68" s="198" t="str">
        <f t="shared" si="3"/>
        <v/>
      </c>
      <c r="AB68" s="199" t="str">
        <f t="shared" si="78"/>
        <v/>
      </c>
      <c r="AC68" s="200" t="str">
        <f t="shared" ref="AC68:AC69" si="79">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48"/>
      <c r="AE68" s="135"/>
      <c r="AF68" s="152"/>
      <c r="AG68" s="217"/>
      <c r="AH68" s="217"/>
      <c r="AI68" s="153"/>
    </row>
    <row r="69" spans="1:35" ht="32.25" hidden="1" customHeight="1" thickBot="1" x14ac:dyDescent="0.4">
      <c r="A69" s="524"/>
      <c r="B69" s="482"/>
      <c r="C69" s="482"/>
      <c r="D69" s="482"/>
      <c r="E69" s="533"/>
      <c r="F69" s="482"/>
      <c r="G69" s="491"/>
      <c r="H69" s="494"/>
      <c r="I69" s="497"/>
      <c r="J69" s="500"/>
      <c r="K69" s="503">
        <f ca="1">IF(NOT(ISERROR(MATCH(J69,_xlfn.ANCHORARRAY(E80),0))),I82&amp;"Por favor no seleccionar los criterios de impacto",J69)</f>
        <v>0</v>
      </c>
      <c r="L69" s="494"/>
      <c r="M69" s="497"/>
      <c r="N69" s="506"/>
      <c r="O69" s="155">
        <v>6</v>
      </c>
      <c r="P69" s="156"/>
      <c r="Q69" s="188" t="str">
        <f t="shared" si="76"/>
        <v/>
      </c>
      <c r="R69" s="157"/>
      <c r="S69" s="157"/>
      <c r="T69" s="202" t="str">
        <f t="shared" si="73"/>
        <v/>
      </c>
      <c r="U69" s="157"/>
      <c r="V69" s="157"/>
      <c r="W69" s="157"/>
      <c r="X69" s="142" t="str">
        <f t="shared" si="77"/>
        <v/>
      </c>
      <c r="Y69" s="201" t="str">
        <f t="shared" si="1"/>
        <v/>
      </c>
      <c r="Z69" s="202" t="str">
        <f t="shared" si="74"/>
        <v/>
      </c>
      <c r="AA69" s="201" t="str">
        <f t="shared" si="3"/>
        <v/>
      </c>
      <c r="AB69" s="202" t="str">
        <f t="shared" si="78"/>
        <v/>
      </c>
      <c r="AC69" s="203" t="str">
        <f t="shared" si="79"/>
        <v/>
      </c>
      <c r="AD69" s="157"/>
      <c r="AE69" s="144"/>
      <c r="AF69" s="158"/>
      <c r="AG69" s="218"/>
      <c r="AH69" s="218"/>
      <c r="AI69" s="159"/>
    </row>
    <row r="70" spans="1:35" ht="49.5" customHeight="1" thickBot="1" x14ac:dyDescent="0.4">
      <c r="A70" s="237"/>
      <c r="B70" s="534" t="s">
        <v>213</v>
      </c>
      <c r="C70" s="535"/>
      <c r="D70" s="535"/>
      <c r="E70" s="535"/>
      <c r="F70" s="535"/>
      <c r="G70" s="535"/>
      <c r="H70" s="535"/>
      <c r="I70" s="535"/>
      <c r="J70" s="535"/>
      <c r="K70" s="535"/>
      <c r="L70" s="535"/>
      <c r="M70" s="535"/>
      <c r="N70" s="535"/>
      <c r="O70" s="535"/>
      <c r="P70" s="535"/>
      <c r="Q70" s="535"/>
      <c r="R70" s="535"/>
      <c r="S70" s="535"/>
      <c r="T70" s="535"/>
      <c r="U70" s="535"/>
      <c r="V70" s="535"/>
      <c r="W70" s="535"/>
      <c r="X70" s="535"/>
      <c r="Y70" s="535"/>
      <c r="Z70" s="535"/>
      <c r="AA70" s="535"/>
      <c r="AB70" s="535"/>
      <c r="AC70" s="535"/>
      <c r="AD70" s="535"/>
      <c r="AE70" s="535"/>
      <c r="AF70" s="535"/>
      <c r="AG70" s="535"/>
      <c r="AH70" s="535"/>
      <c r="AI70" s="536"/>
    </row>
    <row r="72" spans="1:35" x14ac:dyDescent="0.35">
      <c r="A72" s="138"/>
      <c r="B72" s="238" t="s">
        <v>139</v>
      </c>
      <c r="C72" s="138"/>
      <c r="D72" s="138"/>
      <c r="F72" s="138"/>
    </row>
  </sheetData>
  <dataConsolidate/>
  <mergeCells count="185">
    <mergeCell ref="B70:AI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J28:J33"/>
    <mergeCell ref="K28:K33"/>
    <mergeCell ref="L28:L33"/>
    <mergeCell ref="M28:M33"/>
    <mergeCell ref="N28:N33"/>
    <mergeCell ref="J22:J27"/>
    <mergeCell ref="K22:K27"/>
    <mergeCell ref="L22:L27"/>
    <mergeCell ref="M34:M39"/>
    <mergeCell ref="N34:N39"/>
    <mergeCell ref="A28:A33"/>
    <mergeCell ref="B28:B33"/>
    <mergeCell ref="C28:C33"/>
    <mergeCell ref="D28:D33"/>
    <mergeCell ref="E28:E33"/>
    <mergeCell ref="F28:F33"/>
    <mergeCell ref="G28:G33"/>
    <mergeCell ref="H28:H33"/>
    <mergeCell ref="I28:I33"/>
    <mergeCell ref="A16:A21"/>
    <mergeCell ref="B16:B21"/>
    <mergeCell ref="C16:C21"/>
    <mergeCell ref="A22:A27"/>
    <mergeCell ref="B22:B27"/>
    <mergeCell ref="C22:C27"/>
    <mergeCell ref="D22:D27"/>
    <mergeCell ref="E22:E27"/>
    <mergeCell ref="F22:F27"/>
    <mergeCell ref="D16:D21"/>
    <mergeCell ref="E16:E21"/>
    <mergeCell ref="F16:F21"/>
    <mergeCell ref="I22:I27"/>
    <mergeCell ref="M22:M27"/>
    <mergeCell ref="N22:N27"/>
    <mergeCell ref="K16:K21"/>
    <mergeCell ref="L16:L21"/>
    <mergeCell ref="M16:M21"/>
    <mergeCell ref="N16:N21"/>
    <mergeCell ref="G16:G21"/>
    <mergeCell ref="H16:H21"/>
    <mergeCell ref="I16:I21"/>
    <mergeCell ref="J16:J21"/>
    <mergeCell ref="G22:G27"/>
    <mergeCell ref="H22:H27"/>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G8:G9"/>
    <mergeCell ref="C4:N4"/>
    <mergeCell ref="O4:Q4"/>
    <mergeCell ref="G10:G15"/>
    <mergeCell ref="H10:H15"/>
    <mergeCell ref="N10:N15"/>
    <mergeCell ref="I10:I15"/>
    <mergeCell ref="J10:J15"/>
    <mergeCell ref="K10:K15"/>
    <mergeCell ref="L10:L15"/>
    <mergeCell ref="C8:C9"/>
    <mergeCell ref="A10:A15"/>
    <mergeCell ref="B10:B15"/>
    <mergeCell ref="B8:B9"/>
    <mergeCell ref="H8:H9"/>
    <mergeCell ref="C10:C15"/>
    <mergeCell ref="D10:D15"/>
    <mergeCell ref="E10:E15"/>
    <mergeCell ref="F10:F15"/>
    <mergeCell ref="A8:A9"/>
    <mergeCell ref="M10:M15"/>
    <mergeCell ref="A7:G7"/>
    <mergeCell ref="X7:AD7"/>
    <mergeCell ref="AE8:AE9"/>
    <mergeCell ref="AI8:AI9"/>
    <mergeCell ref="AF8:AF9"/>
    <mergeCell ref="AC8:AC9"/>
    <mergeCell ref="AB8:AB9"/>
    <mergeCell ref="X8:X9"/>
    <mergeCell ref="P8:P9"/>
    <mergeCell ref="AG8:AG9"/>
    <mergeCell ref="AH8:AH9"/>
    <mergeCell ref="AE7:AH7"/>
    <mergeCell ref="AD8:AD9"/>
    <mergeCell ref="AA8:AA9"/>
    <mergeCell ref="Y8:Y9"/>
    <mergeCell ref="Z8:Z9"/>
  </mergeCells>
  <conditionalFormatting sqref="H10">
    <cfRule type="cellIs" dxfId="241" priority="348" operator="equal">
      <formula>"Muy Alta"</formula>
    </cfRule>
    <cfRule type="cellIs" dxfId="240" priority="349" operator="equal">
      <formula>"Alta"</formula>
    </cfRule>
    <cfRule type="cellIs" dxfId="239" priority="350" operator="equal">
      <formula>"Media"</formula>
    </cfRule>
    <cfRule type="cellIs" dxfId="238" priority="351" operator="equal">
      <formula>"Baja"</formula>
    </cfRule>
    <cfRule type="cellIs" dxfId="237" priority="352" operator="equal">
      <formula>"Muy Baja"</formula>
    </cfRule>
  </conditionalFormatting>
  <conditionalFormatting sqref="L10 L22 L28 L34 L40 L46 L52 L58 L64">
    <cfRule type="cellIs" dxfId="236" priority="343" operator="equal">
      <formula>"Catastrófico"</formula>
    </cfRule>
    <cfRule type="cellIs" dxfId="235" priority="344" operator="equal">
      <formula>"Mayor"</formula>
    </cfRule>
    <cfRule type="cellIs" dxfId="234" priority="345" operator="equal">
      <formula>"Moderado"</formula>
    </cfRule>
    <cfRule type="cellIs" dxfId="233" priority="346" operator="equal">
      <formula>"Menor"</formula>
    </cfRule>
    <cfRule type="cellIs" dxfId="232" priority="347" operator="equal">
      <formula>"Leve"</formula>
    </cfRule>
  </conditionalFormatting>
  <conditionalFormatting sqref="N10">
    <cfRule type="cellIs" dxfId="231" priority="339" operator="equal">
      <formula>"Extremo"</formula>
    </cfRule>
    <cfRule type="cellIs" dxfId="230" priority="340" operator="equal">
      <formula>"Alto"</formula>
    </cfRule>
    <cfRule type="cellIs" dxfId="229" priority="341" operator="equal">
      <formula>"Moderado"</formula>
    </cfRule>
    <cfRule type="cellIs" dxfId="228" priority="342" operator="equal">
      <formula>"Bajo"</formula>
    </cfRule>
  </conditionalFormatting>
  <conditionalFormatting sqref="Y10:Y15">
    <cfRule type="cellIs" dxfId="227" priority="334" operator="equal">
      <formula>"Muy Alta"</formula>
    </cfRule>
    <cfRule type="cellIs" dxfId="226" priority="335" operator="equal">
      <formula>"Alta"</formula>
    </cfRule>
    <cfRule type="cellIs" dxfId="225" priority="336" operator="equal">
      <formula>"Media"</formula>
    </cfRule>
    <cfRule type="cellIs" dxfId="224" priority="337" operator="equal">
      <formula>"Baja"</formula>
    </cfRule>
    <cfRule type="cellIs" dxfId="223" priority="338" operator="equal">
      <formula>"Muy Baja"</formula>
    </cfRule>
  </conditionalFormatting>
  <conditionalFormatting sqref="AA10:AA15">
    <cfRule type="cellIs" dxfId="222" priority="329" operator="equal">
      <formula>"Catastrófico"</formula>
    </cfRule>
    <cfRule type="cellIs" dxfId="221" priority="330" operator="equal">
      <formula>"Mayor"</formula>
    </cfRule>
    <cfRule type="cellIs" dxfId="220" priority="331" operator="equal">
      <formula>"Moderado"</formula>
    </cfRule>
    <cfRule type="cellIs" dxfId="219" priority="332" operator="equal">
      <formula>"Menor"</formula>
    </cfRule>
    <cfRule type="cellIs" dxfId="218" priority="333" operator="equal">
      <formula>"Leve"</formula>
    </cfRule>
  </conditionalFormatting>
  <conditionalFormatting sqref="AC10:AC15">
    <cfRule type="cellIs" dxfId="217" priority="325" operator="equal">
      <formula>"Extremo"</formula>
    </cfRule>
    <cfRule type="cellIs" dxfId="216" priority="326" operator="equal">
      <formula>"Alto"</formula>
    </cfRule>
    <cfRule type="cellIs" dxfId="215" priority="327" operator="equal">
      <formula>"Moderado"</formula>
    </cfRule>
    <cfRule type="cellIs" dxfId="214" priority="328" operator="equal">
      <formula>"Bajo"</formula>
    </cfRule>
  </conditionalFormatting>
  <conditionalFormatting sqref="H58">
    <cfRule type="cellIs" dxfId="213" priority="82" operator="equal">
      <formula>"Muy Alta"</formula>
    </cfRule>
    <cfRule type="cellIs" dxfId="212" priority="83" operator="equal">
      <formula>"Alta"</formula>
    </cfRule>
    <cfRule type="cellIs" dxfId="211" priority="84" operator="equal">
      <formula>"Media"</formula>
    </cfRule>
    <cfRule type="cellIs" dxfId="210" priority="85" operator="equal">
      <formula>"Baja"</formula>
    </cfRule>
    <cfRule type="cellIs" dxfId="209" priority="86" operator="equal">
      <formula>"Muy Baja"</formula>
    </cfRule>
  </conditionalFormatting>
  <conditionalFormatting sqref="H22">
    <cfRule type="cellIs" dxfId="208" priority="250" operator="equal">
      <formula>"Muy Alta"</formula>
    </cfRule>
    <cfRule type="cellIs" dxfId="207" priority="251" operator="equal">
      <formula>"Alta"</formula>
    </cfRule>
    <cfRule type="cellIs" dxfId="206" priority="252" operator="equal">
      <formula>"Media"</formula>
    </cfRule>
    <cfRule type="cellIs" dxfId="205" priority="253" operator="equal">
      <formula>"Baja"</formula>
    </cfRule>
    <cfRule type="cellIs" dxfId="204" priority="254" operator="equal">
      <formula>"Muy Baja"</formula>
    </cfRule>
  </conditionalFormatting>
  <conditionalFormatting sqref="N22">
    <cfRule type="cellIs" dxfId="203" priority="241" operator="equal">
      <formula>"Extremo"</formula>
    </cfRule>
    <cfRule type="cellIs" dxfId="202" priority="242" operator="equal">
      <formula>"Alto"</formula>
    </cfRule>
    <cfRule type="cellIs" dxfId="201" priority="243" operator="equal">
      <formula>"Moderado"</formula>
    </cfRule>
    <cfRule type="cellIs" dxfId="200" priority="244" operator="equal">
      <formula>"Bajo"</formula>
    </cfRule>
  </conditionalFormatting>
  <conditionalFormatting sqref="Y22:Y27">
    <cfRule type="cellIs" dxfId="199" priority="236" operator="equal">
      <formula>"Muy Alta"</formula>
    </cfRule>
    <cfRule type="cellIs" dxfId="198" priority="237" operator="equal">
      <formula>"Alta"</formula>
    </cfRule>
    <cfRule type="cellIs" dxfId="197" priority="238" operator="equal">
      <formula>"Media"</formula>
    </cfRule>
    <cfRule type="cellIs" dxfId="196" priority="239" operator="equal">
      <formula>"Baja"</formula>
    </cfRule>
    <cfRule type="cellIs" dxfId="195" priority="240" operator="equal">
      <formula>"Muy Baja"</formula>
    </cfRule>
  </conditionalFormatting>
  <conditionalFormatting sqref="AA22:AA27">
    <cfRule type="cellIs" dxfId="194" priority="231" operator="equal">
      <formula>"Catastrófico"</formula>
    </cfRule>
    <cfRule type="cellIs" dxfId="193" priority="232" operator="equal">
      <formula>"Mayor"</formula>
    </cfRule>
    <cfRule type="cellIs" dxfId="192" priority="233" operator="equal">
      <formula>"Moderado"</formula>
    </cfRule>
    <cfRule type="cellIs" dxfId="191" priority="234" operator="equal">
      <formula>"Menor"</formula>
    </cfRule>
    <cfRule type="cellIs" dxfId="190" priority="235" operator="equal">
      <formula>"Leve"</formula>
    </cfRule>
  </conditionalFormatting>
  <conditionalFormatting sqref="AC22:AC27">
    <cfRule type="cellIs" dxfId="189" priority="227" operator="equal">
      <formula>"Extremo"</formula>
    </cfRule>
    <cfRule type="cellIs" dxfId="188" priority="228" operator="equal">
      <formula>"Alto"</formula>
    </cfRule>
    <cfRule type="cellIs" dxfId="187" priority="229" operator="equal">
      <formula>"Moderado"</formula>
    </cfRule>
    <cfRule type="cellIs" dxfId="186" priority="230" operator="equal">
      <formula>"Bajo"</formula>
    </cfRule>
  </conditionalFormatting>
  <conditionalFormatting sqref="H28">
    <cfRule type="cellIs" dxfId="185" priority="222" operator="equal">
      <formula>"Muy Alta"</formula>
    </cfRule>
    <cfRule type="cellIs" dxfId="184" priority="223" operator="equal">
      <formula>"Alta"</formula>
    </cfRule>
    <cfRule type="cellIs" dxfId="183" priority="224" operator="equal">
      <formula>"Media"</formula>
    </cfRule>
    <cfRule type="cellIs" dxfId="182" priority="225" operator="equal">
      <formula>"Baja"</formula>
    </cfRule>
    <cfRule type="cellIs" dxfId="181" priority="226" operator="equal">
      <formula>"Muy Baja"</formula>
    </cfRule>
  </conditionalFormatting>
  <conditionalFormatting sqref="N28">
    <cfRule type="cellIs" dxfId="180" priority="213" operator="equal">
      <formula>"Extremo"</formula>
    </cfRule>
    <cfRule type="cellIs" dxfId="179" priority="214" operator="equal">
      <formula>"Alto"</formula>
    </cfRule>
    <cfRule type="cellIs" dxfId="178" priority="215" operator="equal">
      <formula>"Moderado"</formula>
    </cfRule>
    <cfRule type="cellIs" dxfId="177" priority="216" operator="equal">
      <formula>"Bajo"</formula>
    </cfRule>
  </conditionalFormatting>
  <conditionalFormatting sqref="Y28:Y33">
    <cfRule type="cellIs" dxfId="176" priority="208" operator="equal">
      <formula>"Muy Alta"</formula>
    </cfRule>
    <cfRule type="cellIs" dxfId="175" priority="209" operator="equal">
      <formula>"Alta"</formula>
    </cfRule>
    <cfRule type="cellIs" dxfId="174" priority="210" operator="equal">
      <formula>"Media"</formula>
    </cfRule>
    <cfRule type="cellIs" dxfId="173" priority="211" operator="equal">
      <formula>"Baja"</formula>
    </cfRule>
    <cfRule type="cellIs" dxfId="172" priority="212" operator="equal">
      <formula>"Muy Baja"</formula>
    </cfRule>
  </conditionalFormatting>
  <conditionalFormatting sqref="AA28:AA33">
    <cfRule type="cellIs" dxfId="171" priority="203" operator="equal">
      <formula>"Catastrófico"</formula>
    </cfRule>
    <cfRule type="cellIs" dxfId="170" priority="204" operator="equal">
      <formula>"Mayor"</formula>
    </cfRule>
    <cfRule type="cellIs" dxfId="169" priority="205" operator="equal">
      <formula>"Moderado"</formula>
    </cfRule>
    <cfRule type="cellIs" dxfId="168" priority="206" operator="equal">
      <formula>"Menor"</formula>
    </cfRule>
    <cfRule type="cellIs" dxfId="167" priority="207" operator="equal">
      <formula>"Leve"</formula>
    </cfRule>
  </conditionalFormatting>
  <conditionalFormatting sqref="AC28:AC33">
    <cfRule type="cellIs" dxfId="166" priority="199" operator="equal">
      <formula>"Extremo"</formula>
    </cfRule>
    <cfRule type="cellIs" dxfId="165" priority="200" operator="equal">
      <formula>"Alto"</formula>
    </cfRule>
    <cfRule type="cellIs" dxfId="164" priority="201" operator="equal">
      <formula>"Moderado"</formula>
    </cfRule>
    <cfRule type="cellIs" dxfId="163" priority="202" operator="equal">
      <formula>"Bajo"</formula>
    </cfRule>
  </conditionalFormatting>
  <conditionalFormatting sqref="H34">
    <cfRule type="cellIs" dxfId="162" priority="194" operator="equal">
      <formula>"Muy Alta"</formula>
    </cfRule>
    <cfRule type="cellIs" dxfId="161" priority="195" operator="equal">
      <formula>"Alta"</formula>
    </cfRule>
    <cfRule type="cellIs" dxfId="160" priority="196" operator="equal">
      <formula>"Media"</formula>
    </cfRule>
    <cfRule type="cellIs" dxfId="159" priority="197" operator="equal">
      <formula>"Baja"</formula>
    </cfRule>
    <cfRule type="cellIs" dxfId="158" priority="198" operator="equal">
      <formula>"Muy Baja"</formula>
    </cfRule>
  </conditionalFormatting>
  <conditionalFormatting sqref="N34">
    <cfRule type="cellIs" dxfId="157" priority="185" operator="equal">
      <formula>"Extremo"</formula>
    </cfRule>
    <cfRule type="cellIs" dxfId="156" priority="186" operator="equal">
      <formula>"Alto"</formula>
    </cfRule>
    <cfRule type="cellIs" dxfId="155" priority="187" operator="equal">
      <formula>"Moderado"</formula>
    </cfRule>
    <cfRule type="cellIs" dxfId="154" priority="188" operator="equal">
      <formula>"Bajo"</formula>
    </cfRule>
  </conditionalFormatting>
  <conditionalFormatting sqref="Y34:Y39">
    <cfRule type="cellIs" dxfId="153" priority="180" operator="equal">
      <formula>"Muy Alta"</formula>
    </cfRule>
    <cfRule type="cellIs" dxfId="152" priority="181" operator="equal">
      <formula>"Alta"</formula>
    </cfRule>
    <cfRule type="cellIs" dxfId="151" priority="182" operator="equal">
      <formula>"Media"</formula>
    </cfRule>
    <cfRule type="cellIs" dxfId="150" priority="183" operator="equal">
      <formula>"Baja"</formula>
    </cfRule>
    <cfRule type="cellIs" dxfId="149" priority="184" operator="equal">
      <formula>"Muy Baja"</formula>
    </cfRule>
  </conditionalFormatting>
  <conditionalFormatting sqref="AA34:AA39">
    <cfRule type="cellIs" dxfId="148" priority="175" operator="equal">
      <formula>"Catastrófico"</formula>
    </cfRule>
    <cfRule type="cellIs" dxfId="147" priority="176" operator="equal">
      <formula>"Mayor"</formula>
    </cfRule>
    <cfRule type="cellIs" dxfId="146" priority="177" operator="equal">
      <formula>"Moderado"</formula>
    </cfRule>
    <cfRule type="cellIs" dxfId="145" priority="178" operator="equal">
      <formula>"Menor"</formula>
    </cfRule>
    <cfRule type="cellIs" dxfId="144" priority="179" operator="equal">
      <formula>"Leve"</formula>
    </cfRule>
  </conditionalFormatting>
  <conditionalFormatting sqref="AC34:AC39">
    <cfRule type="cellIs" dxfId="143" priority="171" operator="equal">
      <formula>"Extremo"</formula>
    </cfRule>
    <cfRule type="cellIs" dxfId="142" priority="172" operator="equal">
      <formula>"Alto"</formula>
    </cfRule>
    <cfRule type="cellIs" dxfId="141" priority="173" operator="equal">
      <formula>"Moderado"</formula>
    </cfRule>
    <cfRule type="cellIs" dxfId="140" priority="174" operator="equal">
      <formula>"Bajo"</formula>
    </cfRule>
  </conditionalFormatting>
  <conditionalFormatting sqref="H40">
    <cfRule type="cellIs" dxfId="139" priority="166" operator="equal">
      <formula>"Muy Alta"</formula>
    </cfRule>
    <cfRule type="cellIs" dxfId="138" priority="167" operator="equal">
      <formula>"Alta"</formula>
    </cfRule>
    <cfRule type="cellIs" dxfId="137" priority="168" operator="equal">
      <formula>"Media"</formula>
    </cfRule>
    <cfRule type="cellIs" dxfId="136" priority="169" operator="equal">
      <formula>"Baja"</formula>
    </cfRule>
    <cfRule type="cellIs" dxfId="135" priority="170" operator="equal">
      <formula>"Muy Baja"</formula>
    </cfRule>
  </conditionalFormatting>
  <conditionalFormatting sqref="N40">
    <cfRule type="cellIs" dxfId="134" priority="157" operator="equal">
      <formula>"Extremo"</formula>
    </cfRule>
    <cfRule type="cellIs" dxfId="133" priority="158" operator="equal">
      <formula>"Alto"</formula>
    </cfRule>
    <cfRule type="cellIs" dxfId="132" priority="159" operator="equal">
      <formula>"Moderado"</formula>
    </cfRule>
    <cfRule type="cellIs" dxfId="131" priority="160" operator="equal">
      <formula>"Bajo"</formula>
    </cfRule>
  </conditionalFormatting>
  <conditionalFormatting sqref="Y40:Y45">
    <cfRule type="cellIs" dxfId="130" priority="152" operator="equal">
      <formula>"Muy Alta"</formula>
    </cfRule>
    <cfRule type="cellIs" dxfId="129" priority="153" operator="equal">
      <formula>"Alta"</formula>
    </cfRule>
    <cfRule type="cellIs" dxfId="128" priority="154" operator="equal">
      <formula>"Media"</formula>
    </cfRule>
    <cfRule type="cellIs" dxfId="127" priority="155" operator="equal">
      <formula>"Baja"</formula>
    </cfRule>
    <cfRule type="cellIs" dxfId="126" priority="156" operator="equal">
      <formula>"Muy Baja"</formula>
    </cfRule>
  </conditionalFormatting>
  <conditionalFormatting sqref="AA40:AA45">
    <cfRule type="cellIs" dxfId="125" priority="147" operator="equal">
      <formula>"Catastrófico"</formula>
    </cfRule>
    <cfRule type="cellIs" dxfId="124" priority="148" operator="equal">
      <formula>"Mayor"</formula>
    </cfRule>
    <cfRule type="cellIs" dxfId="123" priority="149" operator="equal">
      <formula>"Moderado"</formula>
    </cfRule>
    <cfRule type="cellIs" dxfId="122" priority="150" operator="equal">
      <formula>"Menor"</formula>
    </cfRule>
    <cfRule type="cellIs" dxfId="121" priority="151" operator="equal">
      <formula>"Leve"</formula>
    </cfRule>
  </conditionalFormatting>
  <conditionalFormatting sqref="AC40:AC45">
    <cfRule type="cellIs" dxfId="120" priority="143" operator="equal">
      <formula>"Extremo"</formula>
    </cfRule>
    <cfRule type="cellIs" dxfId="119" priority="144" operator="equal">
      <formula>"Alto"</formula>
    </cfRule>
    <cfRule type="cellIs" dxfId="118" priority="145" operator="equal">
      <formula>"Moderado"</formula>
    </cfRule>
    <cfRule type="cellIs" dxfId="117" priority="146" operator="equal">
      <formula>"Bajo"</formula>
    </cfRule>
  </conditionalFormatting>
  <conditionalFormatting sqref="H46">
    <cfRule type="cellIs" dxfId="116" priority="138" operator="equal">
      <formula>"Muy Alta"</formula>
    </cfRule>
    <cfRule type="cellIs" dxfId="115" priority="139" operator="equal">
      <formula>"Alta"</formula>
    </cfRule>
    <cfRule type="cellIs" dxfId="114" priority="140" operator="equal">
      <formula>"Media"</formula>
    </cfRule>
    <cfRule type="cellIs" dxfId="113" priority="141" operator="equal">
      <formula>"Baja"</formula>
    </cfRule>
    <cfRule type="cellIs" dxfId="112" priority="142" operator="equal">
      <formula>"Muy Baja"</formula>
    </cfRule>
  </conditionalFormatting>
  <conditionalFormatting sqref="N46">
    <cfRule type="cellIs" dxfId="111" priority="129" operator="equal">
      <formula>"Extremo"</formula>
    </cfRule>
    <cfRule type="cellIs" dxfId="110" priority="130" operator="equal">
      <formula>"Alto"</formula>
    </cfRule>
    <cfRule type="cellIs" dxfId="109" priority="131" operator="equal">
      <formula>"Moderado"</formula>
    </cfRule>
    <cfRule type="cellIs" dxfId="108" priority="132" operator="equal">
      <formula>"Bajo"</formula>
    </cfRule>
  </conditionalFormatting>
  <conditionalFormatting sqref="Y46:Y51">
    <cfRule type="cellIs" dxfId="107" priority="124" operator="equal">
      <formula>"Muy Alta"</formula>
    </cfRule>
    <cfRule type="cellIs" dxfId="106" priority="125" operator="equal">
      <formula>"Alta"</formula>
    </cfRule>
    <cfRule type="cellIs" dxfId="105" priority="126" operator="equal">
      <formula>"Media"</formula>
    </cfRule>
    <cfRule type="cellIs" dxfId="104" priority="127" operator="equal">
      <formula>"Baja"</formula>
    </cfRule>
    <cfRule type="cellIs" dxfId="103" priority="128" operator="equal">
      <formula>"Muy Baja"</formula>
    </cfRule>
  </conditionalFormatting>
  <conditionalFormatting sqref="AA46:AA51">
    <cfRule type="cellIs" dxfId="102" priority="119" operator="equal">
      <formula>"Catastrófico"</formula>
    </cfRule>
    <cfRule type="cellIs" dxfId="101" priority="120" operator="equal">
      <formula>"Mayor"</formula>
    </cfRule>
    <cfRule type="cellIs" dxfId="100" priority="121" operator="equal">
      <formula>"Moderado"</formula>
    </cfRule>
    <cfRule type="cellIs" dxfId="99" priority="122" operator="equal">
      <formula>"Menor"</formula>
    </cfRule>
    <cfRule type="cellIs" dxfId="98" priority="123" operator="equal">
      <formula>"Leve"</formula>
    </cfRule>
  </conditionalFormatting>
  <conditionalFormatting sqref="AC46:AC51">
    <cfRule type="cellIs" dxfId="97" priority="115" operator="equal">
      <formula>"Extremo"</formula>
    </cfRule>
    <cfRule type="cellIs" dxfId="96" priority="116" operator="equal">
      <formula>"Alto"</formula>
    </cfRule>
    <cfRule type="cellIs" dxfId="95" priority="117" operator="equal">
      <formula>"Moderado"</formula>
    </cfRule>
    <cfRule type="cellIs" dxfId="94" priority="118" operator="equal">
      <formula>"Bajo"</formula>
    </cfRule>
  </conditionalFormatting>
  <conditionalFormatting sqref="H52">
    <cfRule type="cellIs" dxfId="93" priority="110" operator="equal">
      <formula>"Muy Alta"</formula>
    </cfRule>
    <cfRule type="cellIs" dxfId="92" priority="111" operator="equal">
      <formula>"Alta"</formula>
    </cfRule>
    <cfRule type="cellIs" dxfId="91" priority="112" operator="equal">
      <formula>"Media"</formula>
    </cfRule>
    <cfRule type="cellIs" dxfId="90" priority="113" operator="equal">
      <formula>"Baja"</formula>
    </cfRule>
    <cfRule type="cellIs" dxfId="89" priority="114" operator="equal">
      <formula>"Muy Baja"</formula>
    </cfRule>
  </conditionalFormatting>
  <conditionalFormatting sqref="N52">
    <cfRule type="cellIs" dxfId="88" priority="101" operator="equal">
      <formula>"Extremo"</formula>
    </cfRule>
    <cfRule type="cellIs" dxfId="87" priority="102" operator="equal">
      <formula>"Alto"</formula>
    </cfRule>
    <cfRule type="cellIs" dxfId="86" priority="103" operator="equal">
      <formula>"Moderado"</formula>
    </cfRule>
    <cfRule type="cellIs" dxfId="85" priority="104" operator="equal">
      <formula>"Bajo"</formula>
    </cfRule>
  </conditionalFormatting>
  <conditionalFormatting sqref="Y52:Y57">
    <cfRule type="cellIs" dxfId="84" priority="96" operator="equal">
      <formula>"Muy Alta"</formula>
    </cfRule>
    <cfRule type="cellIs" dxfId="83" priority="97" operator="equal">
      <formula>"Alta"</formula>
    </cfRule>
    <cfRule type="cellIs" dxfId="82" priority="98" operator="equal">
      <formula>"Media"</formula>
    </cfRule>
    <cfRule type="cellIs" dxfId="81" priority="99" operator="equal">
      <formula>"Baja"</formula>
    </cfRule>
    <cfRule type="cellIs" dxfId="80" priority="100" operator="equal">
      <formula>"Muy Baja"</formula>
    </cfRule>
  </conditionalFormatting>
  <conditionalFormatting sqref="AA52:AA57">
    <cfRule type="cellIs" dxfId="79" priority="91" operator="equal">
      <formula>"Catastrófico"</formula>
    </cfRule>
    <cfRule type="cellIs" dxfId="78" priority="92" operator="equal">
      <formula>"Mayor"</formula>
    </cfRule>
    <cfRule type="cellIs" dxfId="77" priority="93" operator="equal">
      <formula>"Moderado"</formula>
    </cfRule>
    <cfRule type="cellIs" dxfId="76" priority="94" operator="equal">
      <formula>"Menor"</formula>
    </cfRule>
    <cfRule type="cellIs" dxfId="75" priority="95" operator="equal">
      <formula>"Leve"</formula>
    </cfRule>
  </conditionalFormatting>
  <conditionalFormatting sqref="AC52:AC57">
    <cfRule type="cellIs" dxfId="74" priority="87" operator="equal">
      <formula>"Extremo"</formula>
    </cfRule>
    <cfRule type="cellIs" dxfId="73" priority="88" operator="equal">
      <formula>"Alto"</formula>
    </cfRule>
    <cfRule type="cellIs" dxfId="72" priority="89" operator="equal">
      <formula>"Moderado"</formula>
    </cfRule>
    <cfRule type="cellIs" dxfId="71" priority="90" operator="equal">
      <formula>"Bajo"</formula>
    </cfRule>
  </conditionalFormatting>
  <conditionalFormatting sqref="N58">
    <cfRule type="cellIs" dxfId="70" priority="73" operator="equal">
      <formula>"Extremo"</formula>
    </cfRule>
    <cfRule type="cellIs" dxfId="69" priority="74" operator="equal">
      <formula>"Alto"</formula>
    </cfRule>
    <cfRule type="cellIs" dxfId="68" priority="75" operator="equal">
      <formula>"Moderado"</formula>
    </cfRule>
    <cfRule type="cellIs" dxfId="67" priority="76" operator="equal">
      <formula>"Bajo"</formula>
    </cfRule>
  </conditionalFormatting>
  <conditionalFormatting sqref="Y58:Y63">
    <cfRule type="cellIs" dxfId="66" priority="68" operator="equal">
      <formula>"Muy Alta"</formula>
    </cfRule>
    <cfRule type="cellIs" dxfId="65" priority="69" operator="equal">
      <formula>"Alta"</formula>
    </cfRule>
    <cfRule type="cellIs" dxfId="64" priority="70" operator="equal">
      <formula>"Media"</formula>
    </cfRule>
    <cfRule type="cellIs" dxfId="63" priority="71" operator="equal">
      <formula>"Baja"</formula>
    </cfRule>
    <cfRule type="cellIs" dxfId="62" priority="72" operator="equal">
      <formula>"Muy Baja"</formula>
    </cfRule>
  </conditionalFormatting>
  <conditionalFormatting sqref="AA58:AA63">
    <cfRule type="cellIs" dxfId="61" priority="63" operator="equal">
      <formula>"Catastrófico"</formula>
    </cfRule>
    <cfRule type="cellIs" dxfId="60" priority="64" operator="equal">
      <formula>"Mayor"</formula>
    </cfRule>
    <cfRule type="cellIs" dxfId="59" priority="65" operator="equal">
      <formula>"Moderado"</formula>
    </cfRule>
    <cfRule type="cellIs" dxfId="58" priority="66" operator="equal">
      <formula>"Menor"</formula>
    </cfRule>
    <cfRule type="cellIs" dxfId="57" priority="67" operator="equal">
      <formula>"Leve"</formula>
    </cfRule>
  </conditionalFormatting>
  <conditionalFormatting sqref="AC58:AC63">
    <cfRule type="cellIs" dxfId="56" priority="59" operator="equal">
      <formula>"Extremo"</formula>
    </cfRule>
    <cfRule type="cellIs" dxfId="55" priority="60" operator="equal">
      <formula>"Alto"</formula>
    </cfRule>
    <cfRule type="cellIs" dxfId="54" priority="61" operator="equal">
      <formula>"Moderado"</formula>
    </cfRule>
    <cfRule type="cellIs" dxfId="53" priority="62" operator="equal">
      <formula>"Bajo"</formula>
    </cfRule>
  </conditionalFormatting>
  <conditionalFormatting sqref="H64">
    <cfRule type="cellIs" dxfId="52" priority="54" operator="equal">
      <formula>"Muy Alta"</formula>
    </cfRule>
    <cfRule type="cellIs" dxfId="51" priority="55" operator="equal">
      <formula>"Alta"</formula>
    </cfRule>
    <cfRule type="cellIs" dxfId="50" priority="56" operator="equal">
      <formula>"Media"</formula>
    </cfRule>
    <cfRule type="cellIs" dxfId="49" priority="57" operator="equal">
      <formula>"Baja"</formula>
    </cfRule>
    <cfRule type="cellIs" dxfId="48" priority="58" operator="equal">
      <formula>"Muy Baja"</formula>
    </cfRule>
  </conditionalFormatting>
  <conditionalFormatting sqref="N64">
    <cfRule type="cellIs" dxfId="47" priority="45" operator="equal">
      <formula>"Extremo"</formula>
    </cfRule>
    <cfRule type="cellIs" dxfId="46" priority="46" operator="equal">
      <formula>"Alto"</formula>
    </cfRule>
    <cfRule type="cellIs" dxfId="45" priority="47" operator="equal">
      <formula>"Moderado"</formula>
    </cfRule>
    <cfRule type="cellIs" dxfId="44" priority="48" operator="equal">
      <formula>"Bajo"</formula>
    </cfRule>
  </conditionalFormatting>
  <conditionalFormatting sqref="Y64:Y69">
    <cfRule type="cellIs" dxfId="43" priority="40" operator="equal">
      <formula>"Muy Alta"</formula>
    </cfRule>
    <cfRule type="cellIs" dxfId="42" priority="41" operator="equal">
      <formula>"Alta"</formula>
    </cfRule>
    <cfRule type="cellIs" dxfId="41" priority="42" operator="equal">
      <formula>"Media"</formula>
    </cfRule>
    <cfRule type="cellIs" dxfId="40" priority="43" operator="equal">
      <formula>"Baja"</formula>
    </cfRule>
    <cfRule type="cellIs" dxfId="39" priority="44" operator="equal">
      <formula>"Muy Baja"</formula>
    </cfRule>
  </conditionalFormatting>
  <conditionalFormatting sqref="AA64:AA69">
    <cfRule type="cellIs" dxfId="38" priority="35" operator="equal">
      <formula>"Catastrófico"</formula>
    </cfRule>
    <cfRule type="cellIs" dxfId="37" priority="36" operator="equal">
      <formula>"Mayor"</formula>
    </cfRule>
    <cfRule type="cellIs" dxfId="36" priority="37" operator="equal">
      <formula>"Moderado"</formula>
    </cfRule>
    <cfRule type="cellIs" dxfId="35" priority="38" operator="equal">
      <formula>"Menor"</formula>
    </cfRule>
    <cfRule type="cellIs" dxfId="34" priority="39" operator="equal">
      <formula>"Leve"</formula>
    </cfRule>
  </conditionalFormatting>
  <conditionalFormatting sqref="AC64:AC69">
    <cfRule type="cellIs" dxfId="33" priority="31" operator="equal">
      <formula>"Extremo"</formula>
    </cfRule>
    <cfRule type="cellIs" dxfId="32" priority="32" operator="equal">
      <formula>"Alto"</formula>
    </cfRule>
    <cfRule type="cellIs" dxfId="31" priority="33" operator="equal">
      <formula>"Moderado"</formula>
    </cfRule>
    <cfRule type="cellIs" dxfId="30" priority="34" operator="equal">
      <formula>"Bajo"</formula>
    </cfRule>
  </conditionalFormatting>
  <conditionalFormatting sqref="K10:K15 K22:K69">
    <cfRule type="containsText" dxfId="29" priority="30" operator="containsText" text="❌">
      <formula>NOT(ISERROR(SEARCH("❌",K10)))</formula>
    </cfRule>
  </conditionalFormatting>
  <conditionalFormatting sqref="L16">
    <cfRule type="cellIs" dxfId="28" priority="25" operator="equal">
      <formula>"Catastrófico"</formula>
    </cfRule>
    <cfRule type="cellIs" dxfId="27" priority="26" operator="equal">
      <formula>"Mayor"</formula>
    </cfRule>
    <cfRule type="cellIs" dxfId="26" priority="27" operator="equal">
      <formula>"Moderado"</formula>
    </cfRule>
    <cfRule type="cellIs" dxfId="25" priority="28" operator="equal">
      <formula>"Menor"</formula>
    </cfRule>
    <cfRule type="cellIs" dxfId="24" priority="29" operator="equal">
      <formula>"Leve"</formula>
    </cfRule>
  </conditionalFormatting>
  <conditionalFormatting sqref="H16">
    <cfRule type="cellIs" dxfId="23" priority="20" operator="equal">
      <formula>"Muy Alta"</formula>
    </cfRule>
    <cfRule type="cellIs" dxfId="22" priority="21" operator="equal">
      <formula>"Alta"</formula>
    </cfRule>
    <cfRule type="cellIs" dxfId="21" priority="22" operator="equal">
      <formula>"Media"</formula>
    </cfRule>
    <cfRule type="cellIs" dxfId="20" priority="23" operator="equal">
      <formula>"Baja"</formula>
    </cfRule>
    <cfRule type="cellIs" dxfId="19" priority="24" operator="equal">
      <formula>"Muy Baja"</formula>
    </cfRule>
  </conditionalFormatting>
  <conditionalFormatting sqref="N16">
    <cfRule type="cellIs" dxfId="18" priority="16" operator="equal">
      <formula>"Extremo"</formula>
    </cfRule>
    <cfRule type="cellIs" dxfId="17" priority="17" operator="equal">
      <formula>"Alto"</formula>
    </cfRule>
    <cfRule type="cellIs" dxfId="16" priority="18" operator="equal">
      <formula>"Moderado"</formula>
    </cfRule>
    <cfRule type="cellIs" dxfId="15" priority="19" operator="equal">
      <formula>"Bajo"</formula>
    </cfRule>
  </conditionalFormatting>
  <conditionalFormatting sqref="Y16:Y21">
    <cfRule type="cellIs" dxfId="14" priority="11" operator="equal">
      <formula>"Muy Alta"</formula>
    </cfRule>
    <cfRule type="cellIs" dxfId="13" priority="12" operator="equal">
      <formula>"Alta"</formula>
    </cfRule>
    <cfRule type="cellIs" dxfId="12" priority="13" operator="equal">
      <formula>"Media"</formula>
    </cfRule>
    <cfRule type="cellIs" dxfId="11" priority="14" operator="equal">
      <formula>"Baja"</formula>
    </cfRule>
    <cfRule type="cellIs" dxfId="10" priority="15" operator="equal">
      <formula>"Muy Baja"</formula>
    </cfRule>
  </conditionalFormatting>
  <conditionalFormatting sqref="AA16:AA21">
    <cfRule type="cellIs" dxfId="9" priority="6" operator="equal">
      <formula>"Catastrófico"</formula>
    </cfRule>
    <cfRule type="cellIs" dxfId="8" priority="7" operator="equal">
      <formula>"Mayor"</formula>
    </cfRule>
    <cfRule type="cellIs" dxfId="7" priority="8" operator="equal">
      <formula>"Moderado"</formula>
    </cfRule>
    <cfRule type="cellIs" dxfId="6" priority="9" operator="equal">
      <formula>"Menor"</formula>
    </cfRule>
    <cfRule type="cellIs" dxfId="5" priority="10" operator="equal">
      <formula>"Leve"</formula>
    </cfRule>
  </conditionalFormatting>
  <conditionalFormatting sqref="AC16:AC21">
    <cfRule type="cellIs" dxfId="4" priority="2" operator="equal">
      <formula>"Extremo"</formula>
    </cfRule>
    <cfRule type="cellIs" dxfId="3" priority="3" operator="equal">
      <formula>"Alto"</formula>
    </cfRule>
    <cfRule type="cellIs" dxfId="2" priority="4" operator="equal">
      <formula>"Moderado"</formula>
    </cfRule>
    <cfRule type="cellIs" dxfId="1" priority="5" operator="equal">
      <formula>"Bajo"</formula>
    </cfRule>
  </conditionalFormatting>
  <conditionalFormatting sqref="K16:K21">
    <cfRule type="containsText" dxfId="0" priority="1" operator="containsText" text="❌">
      <formula>NOT(ISERROR(SEARCH("❌",K16)))</formula>
    </cfRule>
  </conditionalFormatting>
  <dataValidations count="2">
    <dataValidation showInputMessage="1" showErrorMessage="1" error="Recuerde que las acciones se generan bajo la medida de mitigar el riesgo" sqref="AE24 AE18"/>
    <dataValidation allowBlank="1" showInputMessage="1" showErrorMessage="1" error="Recuerde que las acciones se generan bajo la medida de mitigar el riesgo" sqref="AH10:AH11 AH16"/>
  </dataValidations>
  <pageMargins left="0.7" right="0.7" top="0.75" bottom="0.75" header="0.3" footer="0.3"/>
  <pageSetup scale="15" orientation="portrait" r:id="rId1"/>
  <colBreaks count="1" manualBreakCount="1">
    <brk id="35" max="71" man="1"/>
  </colBreaks>
  <ignoredErrors>
    <ignoredError sqref="AB12" formula="1"/>
  </ignoredErrors>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AI67:AI68 AI64:AI65 AI61:AI62 AI34:AI35 AI22:AI26 AI28:AI32 AI37:AI38 AI40:AI41 AI43:AI44 AI46:AI47 AI49:AI50 AI52:AI53 AI55:AI56 AI58:AI59 AI10:AI20</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F10:F69</xm:sqref>
        </x14:dataValidation>
        <x14:dataValidation type="list" allowBlank="1" showInputMessage="1" showErrorMessage="1">
          <x14:formula1>
            <xm:f>'Opciones Tratamiento'!$E$2:$E$4</xm:f>
          </x14:formula1>
          <xm:sqref>B10:B69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AE10 AE33 AE35:AE69 AE28 AE22:AE23 AE16:AE17 AG10:AG69 AH12:AH15 AH17:AH69</xm:sqref>
        </x14:dataValidation>
        <x14:dataValidation type="custom" allowBlank="1" showInputMessage="1" showErrorMessage="1" error="Recuerde que las acciones se generan bajo la medida de mitigar el riesgo">
          <x14:formula1>
            <xm:f>IF(OR(AD32='Opciones Tratamiento'!$B$2,AD32='Opciones Tratamiento'!$B$3,AD32='Opciones Tratamiento'!$B$4),ISBLANK(AD32),ISTEXT(AD32))</xm:f>
          </x14:formula1>
          <xm:sqref>AF32:AF33 AF35:AF69</xm:sqref>
        </x14:dataValidation>
        <x14:dataValidation type="custom" allowBlank="1" showInputMessage="1" showErrorMessage="1" error="Recuerde que las acciones se generan bajo la medida de mitigar el riesgo">
          <x14:formula1>
            <xm:f>IF(OR(AB19='Opciones Tratamiento'!$B$2,AB19='Opciones Tratamiento'!$B$3,AB19='Opciones Tratamiento'!$B$4),ISBLANK(AB19),ISTEXT(AB19))</xm:f>
          </x14:formula1>
          <xm:sqref>AE25:AE27 AE19:AE21</xm:sqref>
        </x14:dataValidation>
        <x14:dataValidation type="custom" allowBlank="1" showInputMessage="1" showErrorMessage="1" error="Recuerde que las acciones se generan bajo la medida de mitigar el riesgo">
          <x14:formula1>
            <xm:f>IF(OR(AA19='Opciones Tratamiento'!$B$2,AA19='Opciones Tratamiento'!$B$3,AA19='Opciones Tratamiento'!$B$4),ISBLANK(AA19),ISTEXT(AA19))</xm:f>
          </x14:formula1>
          <xm:sqref>AF25:AF27 AF29:AF31 AE29:AE32 AF19:AF21</xm:sqref>
        </x14:dataValidation>
        <x14:dataValidation type="custom" showInputMessage="1" showErrorMessage="1" error="Recuerde que las acciones se generan bajo la medida de mitigar el riesgo">
          <x14:formula1>
            <xm:f>IF(OR(AC24='Opciones Tratamiento'!$B$2,AC24='Opciones Tratamiento'!$B$3,AC24='Opciones Tratamiento'!$B$4),ISBLANK(AC24),ISTEXT(AC24))</xm:f>
          </x14:formula1>
          <xm:sqref>AF24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7" zoomScale="50" zoomScaleNormal="50" workbookViewId="0">
      <selection activeCell="R22" sqref="R22:S23"/>
    </sheetView>
  </sheetViews>
  <sheetFormatPr baseColWidth="10" defaultRowHeight="14.5" x14ac:dyDescent="0.35"/>
  <cols>
    <col min="2"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537" t="s">
        <v>156</v>
      </c>
      <c r="C2" s="537"/>
      <c r="D2" s="537"/>
      <c r="E2" s="537"/>
      <c r="F2" s="537"/>
      <c r="G2" s="537"/>
      <c r="H2" s="537"/>
      <c r="I2" s="537"/>
      <c r="J2" s="575" t="s">
        <v>2</v>
      </c>
      <c r="K2" s="575"/>
      <c r="L2" s="575"/>
      <c r="M2" s="575"/>
      <c r="N2" s="575"/>
      <c r="O2" s="575"/>
      <c r="P2" s="575"/>
      <c r="Q2" s="575"/>
      <c r="R2" s="575"/>
      <c r="S2" s="575"/>
      <c r="T2" s="575"/>
      <c r="U2" s="575"/>
      <c r="V2" s="575"/>
      <c r="W2" s="575"/>
      <c r="X2" s="575"/>
      <c r="Y2" s="575"/>
      <c r="Z2" s="575"/>
      <c r="AA2" s="575"/>
      <c r="AB2" s="575"/>
      <c r="AC2" s="575"/>
      <c r="AD2" s="575"/>
      <c r="AE2" s="575"/>
      <c r="AF2" s="575"/>
      <c r="AG2" s="575"/>
      <c r="AH2" s="575"/>
      <c r="AI2" s="575"/>
      <c r="AJ2" s="575"/>
      <c r="AK2" s="575"/>
      <c r="AL2" s="575"/>
      <c r="AM2" s="57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537"/>
      <c r="C3" s="537"/>
      <c r="D3" s="537"/>
      <c r="E3" s="537"/>
      <c r="F3" s="537"/>
      <c r="G3" s="537"/>
      <c r="H3" s="537"/>
      <c r="I3" s="537"/>
      <c r="J3" s="575"/>
      <c r="K3" s="575"/>
      <c r="L3" s="575"/>
      <c r="M3" s="575"/>
      <c r="N3" s="575"/>
      <c r="O3" s="575"/>
      <c r="P3" s="575"/>
      <c r="Q3" s="575"/>
      <c r="R3" s="575"/>
      <c r="S3" s="575"/>
      <c r="T3" s="575"/>
      <c r="U3" s="575"/>
      <c r="V3" s="575"/>
      <c r="W3" s="575"/>
      <c r="X3" s="575"/>
      <c r="Y3" s="575"/>
      <c r="Z3" s="575"/>
      <c r="AA3" s="575"/>
      <c r="AB3" s="575"/>
      <c r="AC3" s="575"/>
      <c r="AD3" s="575"/>
      <c r="AE3" s="575"/>
      <c r="AF3" s="575"/>
      <c r="AG3" s="575"/>
      <c r="AH3" s="575"/>
      <c r="AI3" s="575"/>
      <c r="AJ3" s="575"/>
      <c r="AK3" s="575"/>
      <c r="AL3" s="575"/>
      <c r="AM3" s="57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537"/>
      <c r="C4" s="537"/>
      <c r="D4" s="537"/>
      <c r="E4" s="537"/>
      <c r="F4" s="537"/>
      <c r="G4" s="537"/>
      <c r="H4" s="537"/>
      <c r="I4" s="537"/>
      <c r="J4" s="575"/>
      <c r="K4" s="575"/>
      <c r="L4" s="575"/>
      <c r="M4" s="575"/>
      <c r="N4" s="575"/>
      <c r="O4" s="575"/>
      <c r="P4" s="575"/>
      <c r="Q4" s="575"/>
      <c r="R4" s="575"/>
      <c r="S4" s="575"/>
      <c r="T4" s="575"/>
      <c r="U4" s="575"/>
      <c r="V4" s="575"/>
      <c r="W4" s="575"/>
      <c r="X4" s="575"/>
      <c r="Y4" s="575"/>
      <c r="Z4" s="575"/>
      <c r="AA4" s="575"/>
      <c r="AB4" s="575"/>
      <c r="AC4" s="575"/>
      <c r="AD4" s="575"/>
      <c r="AE4" s="575"/>
      <c r="AF4" s="575"/>
      <c r="AG4" s="575"/>
      <c r="AH4" s="575"/>
      <c r="AI4" s="575"/>
      <c r="AJ4" s="575"/>
      <c r="AK4" s="575"/>
      <c r="AL4" s="575"/>
      <c r="AM4" s="57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587" t="s">
        <v>4</v>
      </c>
      <c r="C6" s="587"/>
      <c r="D6" s="588"/>
      <c r="E6" s="576" t="s">
        <v>113</v>
      </c>
      <c r="F6" s="577"/>
      <c r="G6" s="577"/>
      <c r="H6" s="577"/>
      <c r="I6" s="578"/>
      <c r="J6" s="572" t="str">
        <f>IF(AND('Mapa final'!$H$10="Muy Alta",'Mapa final'!$L$10="Leve"),CONCATENATE("R",'Mapa final'!$A$10),"")</f>
        <v/>
      </c>
      <c r="K6" s="573"/>
      <c r="L6" s="573" t="str">
        <f>IF(AND('Mapa final'!$H$16="Muy Alta",'Mapa final'!$L$16="Leve"),CONCATENATE("R",'Mapa final'!$A$16),"")</f>
        <v/>
      </c>
      <c r="M6" s="573"/>
      <c r="N6" s="573" t="str">
        <f>IF(AND('Mapa final'!$H$22="Muy Alta",'Mapa final'!$L$22="Leve"),CONCATENATE("R",'Mapa final'!$A$22),"")</f>
        <v/>
      </c>
      <c r="O6" s="574"/>
      <c r="P6" s="572" t="str">
        <f>IF(AND('Mapa final'!$H$10="Muy Alta",'Mapa final'!$L$10="Menor"),CONCATENATE("R",'Mapa final'!$A$10),"")</f>
        <v/>
      </c>
      <c r="Q6" s="573"/>
      <c r="R6" s="573" t="str">
        <f>IF(AND('Mapa final'!$H$16="Muy Alta",'Mapa final'!$L$16="Menor"),CONCATENATE("R",'Mapa final'!$A$16),"")</f>
        <v/>
      </c>
      <c r="S6" s="573"/>
      <c r="T6" s="573" t="str">
        <f>IF(AND('Mapa final'!$H$22="Muy Alta",'Mapa final'!$L$22="Menor"),CONCATENATE("R",'Mapa final'!$A$22),"")</f>
        <v/>
      </c>
      <c r="U6" s="574"/>
      <c r="V6" s="572" t="str">
        <f>IF(AND('Mapa final'!$H$10="Muy Alta",'Mapa final'!$L$10="Moderado"),CONCATENATE("R",'Mapa final'!$A$10),"")</f>
        <v/>
      </c>
      <c r="W6" s="573"/>
      <c r="X6" s="573" t="str">
        <f>IF(AND('Mapa final'!$H$16="Muy Alta",'Mapa final'!$L$16="Moderado"),CONCATENATE("R",'Mapa final'!$A$16),"")</f>
        <v/>
      </c>
      <c r="Y6" s="573"/>
      <c r="Z6" s="573" t="str">
        <f>IF(AND('Mapa final'!$H$22="Muy Alta",'Mapa final'!$L$22="Moderado"),CONCATENATE("R",'Mapa final'!$A$22),"")</f>
        <v/>
      </c>
      <c r="AA6" s="574"/>
      <c r="AB6" s="572" t="str">
        <f>IF(AND('Mapa final'!$H$10="Muy Alta",'Mapa final'!$L$10="Mayor"),CONCATENATE("R",'Mapa final'!$A$10),"")</f>
        <v/>
      </c>
      <c r="AC6" s="573"/>
      <c r="AD6" s="573" t="str">
        <f>IF(AND('Mapa final'!$H$16="Muy Alta",'Mapa final'!$L$16="Mayor"),CONCATENATE("R",'Mapa final'!$A$16),"")</f>
        <v/>
      </c>
      <c r="AE6" s="573"/>
      <c r="AF6" s="573" t="str">
        <f>IF(AND('Mapa final'!$H$22="Muy Alta",'Mapa final'!$L$22="Mayor"),CONCATENATE("R",'Mapa final'!$A$22),"")</f>
        <v/>
      </c>
      <c r="AG6" s="574"/>
      <c r="AH6" s="562" t="str">
        <f>IF(AND('Mapa final'!$H$10="Muy Alta",'Mapa final'!$L$10="Catastrófico"),CONCATENATE("R",'Mapa final'!$A$10),"")</f>
        <v/>
      </c>
      <c r="AI6" s="563"/>
      <c r="AJ6" s="563" t="str">
        <f>IF(AND('Mapa final'!$H$16="Muy Alta",'Mapa final'!$L$16="Catastrófico"),CONCATENATE("R",'Mapa final'!$A$16),"")</f>
        <v/>
      </c>
      <c r="AK6" s="563"/>
      <c r="AL6" s="563" t="str">
        <f>IF(AND('Mapa final'!$H$22="Muy Alta",'Mapa final'!$L$22="Catastrófico"),CONCATENATE("R",'Mapa final'!$A$22),"")</f>
        <v/>
      </c>
      <c r="AM6" s="564"/>
      <c r="AO6" s="589" t="s">
        <v>76</v>
      </c>
      <c r="AP6" s="590"/>
      <c r="AQ6" s="590"/>
      <c r="AR6" s="590"/>
      <c r="AS6" s="590"/>
      <c r="AT6" s="591"/>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587"/>
      <c r="C7" s="587"/>
      <c r="D7" s="588"/>
      <c r="E7" s="579"/>
      <c r="F7" s="580"/>
      <c r="G7" s="580"/>
      <c r="H7" s="580"/>
      <c r="I7" s="581"/>
      <c r="J7" s="565"/>
      <c r="K7" s="566"/>
      <c r="L7" s="566"/>
      <c r="M7" s="566"/>
      <c r="N7" s="566"/>
      <c r="O7" s="568"/>
      <c r="P7" s="565"/>
      <c r="Q7" s="566"/>
      <c r="R7" s="566"/>
      <c r="S7" s="566"/>
      <c r="T7" s="566"/>
      <c r="U7" s="568"/>
      <c r="V7" s="565"/>
      <c r="W7" s="566"/>
      <c r="X7" s="566"/>
      <c r="Y7" s="566"/>
      <c r="Z7" s="566"/>
      <c r="AA7" s="568"/>
      <c r="AB7" s="565"/>
      <c r="AC7" s="566"/>
      <c r="AD7" s="566"/>
      <c r="AE7" s="566"/>
      <c r="AF7" s="566"/>
      <c r="AG7" s="568"/>
      <c r="AH7" s="556"/>
      <c r="AI7" s="557"/>
      <c r="AJ7" s="557"/>
      <c r="AK7" s="557"/>
      <c r="AL7" s="557"/>
      <c r="AM7" s="558"/>
      <c r="AN7" s="70"/>
      <c r="AO7" s="592"/>
      <c r="AP7" s="593"/>
      <c r="AQ7" s="593"/>
      <c r="AR7" s="593"/>
      <c r="AS7" s="593"/>
      <c r="AT7" s="594"/>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587"/>
      <c r="C8" s="587"/>
      <c r="D8" s="588"/>
      <c r="E8" s="579"/>
      <c r="F8" s="580"/>
      <c r="G8" s="580"/>
      <c r="H8" s="580"/>
      <c r="I8" s="581"/>
      <c r="J8" s="565" t="str">
        <f>IF(AND('Mapa final'!$H$28="Muy Alta",'Mapa final'!$L$28="Leve"),CONCATENATE("R",'Mapa final'!$A$28),"")</f>
        <v/>
      </c>
      <c r="K8" s="566"/>
      <c r="L8" s="567" t="str">
        <f>IF(AND('Mapa final'!$H$34="Muy Alta",'Mapa final'!$L$34="Leve"),CONCATENATE("R",'Mapa final'!$A$34),"")</f>
        <v/>
      </c>
      <c r="M8" s="567"/>
      <c r="N8" s="567" t="str">
        <f>IF(AND('Mapa final'!$H$40="Muy Alta",'Mapa final'!$L$40="Leve"),CONCATENATE("R",'Mapa final'!$A$40),"")</f>
        <v/>
      </c>
      <c r="O8" s="568"/>
      <c r="P8" s="565" t="str">
        <f>IF(AND('Mapa final'!$H$28="Muy Alta",'Mapa final'!$L$28="Menor"),CONCATENATE("R",'Mapa final'!$A$28),"")</f>
        <v/>
      </c>
      <c r="Q8" s="566"/>
      <c r="R8" s="567" t="str">
        <f>IF(AND('Mapa final'!$H$34="Muy Alta",'Mapa final'!$L$34="Menor"),CONCATENATE("R",'Mapa final'!$A$34),"")</f>
        <v/>
      </c>
      <c r="S8" s="567"/>
      <c r="T8" s="567" t="str">
        <f>IF(AND('Mapa final'!$H$40="Muy Alta",'Mapa final'!$L$40="Menor"),CONCATENATE("R",'Mapa final'!$A$40),"")</f>
        <v/>
      </c>
      <c r="U8" s="568"/>
      <c r="V8" s="565" t="str">
        <f>IF(AND('Mapa final'!$H$28="Muy Alta",'Mapa final'!$L$28="Moderado"),CONCATENATE("R",'Mapa final'!$A$28),"")</f>
        <v/>
      </c>
      <c r="W8" s="566"/>
      <c r="X8" s="567" t="str">
        <f>IF(AND('Mapa final'!$H$34="Muy Alta",'Mapa final'!$L$34="Moderado"),CONCATENATE("R",'Mapa final'!$A$34),"")</f>
        <v/>
      </c>
      <c r="Y8" s="567"/>
      <c r="Z8" s="567" t="str">
        <f>IF(AND('Mapa final'!$H$40="Muy Alta",'Mapa final'!$L$40="Moderado"),CONCATENATE("R",'Mapa final'!$A$40),"")</f>
        <v/>
      </c>
      <c r="AA8" s="568"/>
      <c r="AB8" s="565" t="str">
        <f>IF(AND('Mapa final'!$H$28="Muy Alta",'Mapa final'!$L$28="Mayor"),CONCATENATE("R",'Mapa final'!$A$28),"")</f>
        <v/>
      </c>
      <c r="AC8" s="566"/>
      <c r="AD8" s="567" t="str">
        <f>IF(AND('Mapa final'!$H$34="Muy Alta",'Mapa final'!$L$34="Mayor"),CONCATENATE("R",'Mapa final'!$A$34),"")</f>
        <v/>
      </c>
      <c r="AE8" s="567"/>
      <c r="AF8" s="567" t="str">
        <f>IF(AND('Mapa final'!$H$40="Muy Alta",'Mapa final'!$L$40="Mayor"),CONCATENATE("R",'Mapa final'!$A$40),"")</f>
        <v/>
      </c>
      <c r="AG8" s="568"/>
      <c r="AH8" s="556" t="str">
        <f>IF(AND('Mapa final'!$H$28="Muy Alta",'Mapa final'!$L$28="Catastrófico"),CONCATENATE("R",'Mapa final'!$A$28),"")</f>
        <v/>
      </c>
      <c r="AI8" s="557"/>
      <c r="AJ8" s="557" t="str">
        <f>IF(AND('Mapa final'!$H$34="Muy Alta",'Mapa final'!$L$34="Catastrófico"),CONCATENATE("R",'Mapa final'!$A$34),"")</f>
        <v/>
      </c>
      <c r="AK8" s="557"/>
      <c r="AL8" s="557" t="str">
        <f>IF(AND('Mapa final'!$H$40="Muy Alta",'Mapa final'!$L$40="Catastrófico"),CONCATENATE("R",'Mapa final'!$A$40),"")</f>
        <v/>
      </c>
      <c r="AM8" s="558"/>
      <c r="AN8" s="70"/>
      <c r="AO8" s="592"/>
      <c r="AP8" s="593"/>
      <c r="AQ8" s="593"/>
      <c r="AR8" s="593"/>
      <c r="AS8" s="593"/>
      <c r="AT8" s="594"/>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587"/>
      <c r="C9" s="587"/>
      <c r="D9" s="588"/>
      <c r="E9" s="579"/>
      <c r="F9" s="580"/>
      <c r="G9" s="580"/>
      <c r="H9" s="580"/>
      <c r="I9" s="581"/>
      <c r="J9" s="565"/>
      <c r="K9" s="566"/>
      <c r="L9" s="567"/>
      <c r="M9" s="567"/>
      <c r="N9" s="567"/>
      <c r="O9" s="568"/>
      <c r="P9" s="565"/>
      <c r="Q9" s="566"/>
      <c r="R9" s="567"/>
      <c r="S9" s="567"/>
      <c r="T9" s="567"/>
      <c r="U9" s="568"/>
      <c r="V9" s="565"/>
      <c r="W9" s="566"/>
      <c r="X9" s="567"/>
      <c r="Y9" s="567"/>
      <c r="Z9" s="567"/>
      <c r="AA9" s="568"/>
      <c r="AB9" s="565"/>
      <c r="AC9" s="566"/>
      <c r="AD9" s="567"/>
      <c r="AE9" s="567"/>
      <c r="AF9" s="567"/>
      <c r="AG9" s="568"/>
      <c r="AH9" s="556"/>
      <c r="AI9" s="557"/>
      <c r="AJ9" s="557"/>
      <c r="AK9" s="557"/>
      <c r="AL9" s="557"/>
      <c r="AM9" s="558"/>
      <c r="AN9" s="70"/>
      <c r="AO9" s="592"/>
      <c r="AP9" s="593"/>
      <c r="AQ9" s="593"/>
      <c r="AR9" s="593"/>
      <c r="AS9" s="593"/>
      <c r="AT9" s="594"/>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587"/>
      <c r="C10" s="587"/>
      <c r="D10" s="588"/>
      <c r="E10" s="579"/>
      <c r="F10" s="580"/>
      <c r="G10" s="580"/>
      <c r="H10" s="580"/>
      <c r="I10" s="581"/>
      <c r="J10" s="565" t="str">
        <f>IF(AND('Mapa final'!$H$46="Muy Alta",'Mapa final'!$L$46="Leve"),CONCATENATE("R",'Mapa final'!$A$46),"")</f>
        <v/>
      </c>
      <c r="K10" s="566"/>
      <c r="L10" s="567" t="str">
        <f>IF(AND('Mapa final'!$H$52="Muy Alta",'Mapa final'!$L$52="Leve"),CONCATENATE("R",'Mapa final'!$A$52),"")</f>
        <v/>
      </c>
      <c r="M10" s="567"/>
      <c r="N10" s="567" t="str">
        <f>IF(AND('Mapa final'!$H$58="Muy Alta",'Mapa final'!$L$58="Leve"),CONCATENATE("R",'Mapa final'!$A$58),"")</f>
        <v/>
      </c>
      <c r="O10" s="568"/>
      <c r="P10" s="565" t="str">
        <f>IF(AND('Mapa final'!$H$46="Muy Alta",'Mapa final'!$L$46="Menor"),CONCATENATE("R",'Mapa final'!$A$46),"")</f>
        <v/>
      </c>
      <c r="Q10" s="566"/>
      <c r="R10" s="567" t="str">
        <f>IF(AND('Mapa final'!$H$52="Muy Alta",'Mapa final'!$L$52="Menor"),CONCATENATE("R",'Mapa final'!$A$52),"")</f>
        <v/>
      </c>
      <c r="S10" s="567"/>
      <c r="T10" s="567" t="str">
        <f>IF(AND('Mapa final'!$H$58="Muy Alta",'Mapa final'!$L$58="Menor"),CONCATENATE("R",'Mapa final'!$A$58),"")</f>
        <v/>
      </c>
      <c r="U10" s="568"/>
      <c r="V10" s="565" t="str">
        <f>IF(AND('Mapa final'!$H$46="Muy Alta",'Mapa final'!$L$46="Moderado"),CONCATENATE("R",'Mapa final'!$A$46),"")</f>
        <v/>
      </c>
      <c r="W10" s="566"/>
      <c r="X10" s="567" t="str">
        <f>IF(AND('Mapa final'!$H$52="Muy Alta",'Mapa final'!$L$52="Moderado"),CONCATENATE("R",'Mapa final'!$A$52),"")</f>
        <v/>
      </c>
      <c r="Y10" s="567"/>
      <c r="Z10" s="567" t="str">
        <f>IF(AND('Mapa final'!$H$58="Muy Alta",'Mapa final'!$L$58="Moderado"),CONCATENATE("R",'Mapa final'!$A$58),"")</f>
        <v/>
      </c>
      <c r="AA10" s="568"/>
      <c r="AB10" s="565" t="str">
        <f>IF(AND('Mapa final'!$H$46="Muy Alta",'Mapa final'!$L$46="Mayor"),CONCATENATE("R",'Mapa final'!$A$46),"")</f>
        <v/>
      </c>
      <c r="AC10" s="566"/>
      <c r="AD10" s="567" t="str">
        <f>IF(AND('Mapa final'!$H$52="Muy Alta",'Mapa final'!$L$52="Mayor"),CONCATENATE("R",'Mapa final'!$A$52),"")</f>
        <v/>
      </c>
      <c r="AE10" s="567"/>
      <c r="AF10" s="567" t="str">
        <f>IF(AND('Mapa final'!$H$58="Muy Alta",'Mapa final'!$L$58="Mayor"),CONCATENATE("R",'Mapa final'!$A$58),"")</f>
        <v/>
      </c>
      <c r="AG10" s="568"/>
      <c r="AH10" s="556" t="str">
        <f>IF(AND('Mapa final'!$H$46="Muy Alta",'Mapa final'!$L$46="Catastrófico"),CONCATENATE("R",'Mapa final'!$A$46),"")</f>
        <v/>
      </c>
      <c r="AI10" s="557"/>
      <c r="AJ10" s="557" t="str">
        <f>IF(AND('Mapa final'!$H$52="Muy Alta",'Mapa final'!$L$52="Catastrófico"),CONCATENATE("R",'Mapa final'!$A$52),"")</f>
        <v/>
      </c>
      <c r="AK10" s="557"/>
      <c r="AL10" s="557" t="str">
        <f>IF(AND('Mapa final'!$H$58="Muy Alta",'Mapa final'!$L$58="Catastrófico"),CONCATENATE("R",'Mapa final'!$A$58),"")</f>
        <v/>
      </c>
      <c r="AM10" s="558"/>
      <c r="AN10" s="70"/>
      <c r="AO10" s="592"/>
      <c r="AP10" s="593"/>
      <c r="AQ10" s="593"/>
      <c r="AR10" s="593"/>
      <c r="AS10" s="593"/>
      <c r="AT10" s="594"/>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587"/>
      <c r="C11" s="587"/>
      <c r="D11" s="588"/>
      <c r="E11" s="579"/>
      <c r="F11" s="580"/>
      <c r="G11" s="580"/>
      <c r="H11" s="580"/>
      <c r="I11" s="581"/>
      <c r="J11" s="565"/>
      <c r="K11" s="566"/>
      <c r="L11" s="567"/>
      <c r="M11" s="567"/>
      <c r="N11" s="567"/>
      <c r="O11" s="568"/>
      <c r="P11" s="565"/>
      <c r="Q11" s="566"/>
      <c r="R11" s="567"/>
      <c r="S11" s="567"/>
      <c r="T11" s="567"/>
      <c r="U11" s="568"/>
      <c r="V11" s="565"/>
      <c r="W11" s="566"/>
      <c r="X11" s="567"/>
      <c r="Y11" s="567"/>
      <c r="Z11" s="567"/>
      <c r="AA11" s="568"/>
      <c r="AB11" s="565"/>
      <c r="AC11" s="566"/>
      <c r="AD11" s="567"/>
      <c r="AE11" s="567"/>
      <c r="AF11" s="567"/>
      <c r="AG11" s="568"/>
      <c r="AH11" s="556"/>
      <c r="AI11" s="557"/>
      <c r="AJ11" s="557"/>
      <c r="AK11" s="557"/>
      <c r="AL11" s="557"/>
      <c r="AM11" s="558"/>
      <c r="AN11" s="70"/>
      <c r="AO11" s="592"/>
      <c r="AP11" s="593"/>
      <c r="AQ11" s="593"/>
      <c r="AR11" s="593"/>
      <c r="AS11" s="593"/>
      <c r="AT11" s="594"/>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587"/>
      <c r="C12" s="587"/>
      <c r="D12" s="588"/>
      <c r="E12" s="579"/>
      <c r="F12" s="580"/>
      <c r="G12" s="580"/>
      <c r="H12" s="580"/>
      <c r="I12" s="581"/>
      <c r="J12" s="565" t="str">
        <f>IF(AND('Mapa final'!$H$64="Muy Alta",'Mapa final'!$L$64="Leve"),CONCATENATE("R",'Mapa final'!$A$64),"")</f>
        <v/>
      </c>
      <c r="K12" s="566"/>
      <c r="L12" s="567" t="str">
        <f>IF(AND('Mapa final'!$H$70="Muy Alta",'Mapa final'!$L$70="Leve"),CONCATENATE("R",'Mapa final'!$A$70),"")</f>
        <v/>
      </c>
      <c r="M12" s="567"/>
      <c r="N12" s="567" t="str">
        <f>IF(AND('Mapa final'!$H$76="Muy Alta",'Mapa final'!$L$76="Leve"),CONCATENATE("R",'Mapa final'!$A$76),"")</f>
        <v/>
      </c>
      <c r="O12" s="568"/>
      <c r="P12" s="565" t="str">
        <f>IF(AND('Mapa final'!$H$64="Muy Alta",'Mapa final'!$L$64="Menor"),CONCATENATE("R",'Mapa final'!$A$64),"")</f>
        <v/>
      </c>
      <c r="Q12" s="566"/>
      <c r="R12" s="567" t="str">
        <f>IF(AND('Mapa final'!$H$70="Muy Alta",'Mapa final'!$L$70="Menor"),CONCATENATE("R",'Mapa final'!$A$70),"")</f>
        <v/>
      </c>
      <c r="S12" s="567"/>
      <c r="T12" s="567" t="str">
        <f>IF(AND('Mapa final'!$H$76="Muy Alta",'Mapa final'!$L$76="Menor"),CONCATENATE("R",'Mapa final'!$A$76),"")</f>
        <v/>
      </c>
      <c r="U12" s="568"/>
      <c r="V12" s="565" t="str">
        <f>IF(AND('Mapa final'!$H$64="Muy Alta",'Mapa final'!$L$64="Moderado"),CONCATENATE("R",'Mapa final'!$A$64),"")</f>
        <v/>
      </c>
      <c r="W12" s="566"/>
      <c r="X12" s="567" t="str">
        <f>IF(AND('Mapa final'!$H$70="Muy Alta",'Mapa final'!$L$70="Moderado"),CONCATENATE("R",'Mapa final'!$A$70),"")</f>
        <v/>
      </c>
      <c r="Y12" s="567"/>
      <c r="Z12" s="567" t="str">
        <f>IF(AND('Mapa final'!$H$76="Muy Alta",'Mapa final'!$L$76="Moderado"),CONCATENATE("R",'Mapa final'!$A$76),"")</f>
        <v/>
      </c>
      <c r="AA12" s="568"/>
      <c r="AB12" s="565" t="str">
        <f>IF(AND('Mapa final'!$H$64="Muy Alta",'Mapa final'!$L$64="Mayor"),CONCATENATE("R",'Mapa final'!$A$64),"")</f>
        <v/>
      </c>
      <c r="AC12" s="566"/>
      <c r="AD12" s="567" t="str">
        <f>IF(AND('Mapa final'!$H$70="Muy Alta",'Mapa final'!$L$70="Mayor"),CONCATENATE("R",'Mapa final'!$A$70),"")</f>
        <v/>
      </c>
      <c r="AE12" s="567"/>
      <c r="AF12" s="567" t="str">
        <f>IF(AND('Mapa final'!$H$76="Muy Alta",'Mapa final'!$L$76="Mayor"),CONCATENATE("R",'Mapa final'!$A$76),"")</f>
        <v/>
      </c>
      <c r="AG12" s="568"/>
      <c r="AH12" s="556" t="str">
        <f>IF(AND('Mapa final'!$H$64="Muy Alta",'Mapa final'!$L$64="Catastrófico"),CONCATENATE("R",'Mapa final'!$A$64),"")</f>
        <v/>
      </c>
      <c r="AI12" s="557"/>
      <c r="AJ12" s="557" t="str">
        <f>IF(AND('Mapa final'!$H$70="Muy Alta",'Mapa final'!$L$70="Catastrófico"),CONCATENATE("R",'Mapa final'!$A$70),"")</f>
        <v/>
      </c>
      <c r="AK12" s="557"/>
      <c r="AL12" s="557" t="str">
        <f>IF(AND('Mapa final'!$H$76="Muy Alta",'Mapa final'!$L$76="Catastrófico"),CONCATENATE("R",'Mapa final'!$A$76),"")</f>
        <v/>
      </c>
      <c r="AM12" s="558"/>
      <c r="AN12" s="70"/>
      <c r="AO12" s="592"/>
      <c r="AP12" s="593"/>
      <c r="AQ12" s="593"/>
      <c r="AR12" s="593"/>
      <c r="AS12" s="593"/>
      <c r="AT12" s="594"/>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587"/>
      <c r="C13" s="587"/>
      <c r="D13" s="588"/>
      <c r="E13" s="582"/>
      <c r="F13" s="583"/>
      <c r="G13" s="583"/>
      <c r="H13" s="583"/>
      <c r="I13" s="584"/>
      <c r="J13" s="565"/>
      <c r="K13" s="566"/>
      <c r="L13" s="566"/>
      <c r="M13" s="566"/>
      <c r="N13" s="566"/>
      <c r="O13" s="568"/>
      <c r="P13" s="565"/>
      <c r="Q13" s="566"/>
      <c r="R13" s="566"/>
      <c r="S13" s="566"/>
      <c r="T13" s="566"/>
      <c r="U13" s="568"/>
      <c r="V13" s="565"/>
      <c r="W13" s="566"/>
      <c r="X13" s="566"/>
      <c r="Y13" s="566"/>
      <c r="Z13" s="566"/>
      <c r="AA13" s="568"/>
      <c r="AB13" s="565"/>
      <c r="AC13" s="566"/>
      <c r="AD13" s="566"/>
      <c r="AE13" s="566"/>
      <c r="AF13" s="566"/>
      <c r="AG13" s="568"/>
      <c r="AH13" s="559"/>
      <c r="AI13" s="560"/>
      <c r="AJ13" s="560"/>
      <c r="AK13" s="560"/>
      <c r="AL13" s="560"/>
      <c r="AM13" s="561"/>
      <c r="AN13" s="70"/>
      <c r="AO13" s="595"/>
      <c r="AP13" s="596"/>
      <c r="AQ13" s="596"/>
      <c r="AR13" s="596"/>
      <c r="AS13" s="596"/>
      <c r="AT13" s="597"/>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35">
      <c r="A14" s="70"/>
      <c r="B14" s="587"/>
      <c r="C14" s="587"/>
      <c r="D14" s="588"/>
      <c r="E14" s="576" t="s">
        <v>112</v>
      </c>
      <c r="F14" s="577"/>
      <c r="G14" s="577"/>
      <c r="H14" s="577"/>
      <c r="I14" s="577"/>
      <c r="J14" s="553" t="str">
        <f>IF(AND('Mapa final'!$H$10="Alta",'Mapa final'!$L$10="Leve"),CONCATENATE("R",'Mapa final'!$A$10),"")</f>
        <v/>
      </c>
      <c r="K14" s="554"/>
      <c r="L14" s="554" t="str">
        <f>IF(AND('Mapa final'!$H$16="Alta",'Mapa final'!$L$16="Leve"),CONCATENATE("R",'Mapa final'!$A$16),"")</f>
        <v/>
      </c>
      <c r="M14" s="554"/>
      <c r="N14" s="554" t="str">
        <f>IF(AND('Mapa final'!$H$22="Alta",'Mapa final'!$L$22="Leve"),CONCATENATE("R",'Mapa final'!$A$22),"")</f>
        <v/>
      </c>
      <c r="O14" s="555"/>
      <c r="P14" s="553" t="str">
        <f>IF(AND('Mapa final'!$H$10="Alta",'Mapa final'!$L$10="Menor"),CONCATENATE("R",'Mapa final'!$A$10),"")</f>
        <v/>
      </c>
      <c r="Q14" s="554"/>
      <c r="R14" s="554" t="str">
        <f>IF(AND('Mapa final'!$H$16="Alta",'Mapa final'!$L$16="Menor"),CONCATENATE("R",'Mapa final'!$A$16),"")</f>
        <v/>
      </c>
      <c r="S14" s="554"/>
      <c r="T14" s="554" t="str">
        <f>IF(AND('Mapa final'!$H$22="Alta",'Mapa final'!$L$22="Menor"),CONCATENATE("R",'Mapa final'!$A$22),"")</f>
        <v/>
      </c>
      <c r="U14" s="555"/>
      <c r="V14" s="572" t="str">
        <f>IF(AND('Mapa final'!$H$10="Alta",'Mapa final'!$L$10="Moderado"),CONCATENATE("R",'Mapa final'!$A$10),"")</f>
        <v/>
      </c>
      <c r="W14" s="573"/>
      <c r="X14" s="573" t="str">
        <f>IF(AND('Mapa final'!$H$16="Alta",'Mapa final'!$L$16="Moderado"),CONCATENATE("R",'Mapa final'!$A$16),"")</f>
        <v/>
      </c>
      <c r="Y14" s="573"/>
      <c r="Z14" s="573" t="str">
        <f>IF(AND('Mapa final'!$H$22="Alta",'Mapa final'!$L$22="Moderado"),CONCATENATE("R",'Mapa final'!$A$22),"")</f>
        <v/>
      </c>
      <c r="AA14" s="574"/>
      <c r="AB14" s="572" t="str">
        <f>IF(AND('Mapa final'!$H$10="Alta",'Mapa final'!$L$10="Mayor"),CONCATENATE("R",'Mapa final'!$A$10),"")</f>
        <v/>
      </c>
      <c r="AC14" s="573"/>
      <c r="AD14" s="573" t="str">
        <f>IF(AND('Mapa final'!$H$16="Alta",'Mapa final'!$L$16="Mayor"),CONCATENATE("R",'Mapa final'!$A$16),"")</f>
        <v/>
      </c>
      <c r="AE14" s="573"/>
      <c r="AF14" s="573" t="str">
        <f>IF(AND('Mapa final'!$H$22="Alta",'Mapa final'!$L$22="Mayor"),CONCATENATE("R",'Mapa final'!$A$22),"")</f>
        <v/>
      </c>
      <c r="AG14" s="574"/>
      <c r="AH14" s="562" t="str">
        <f>IF(AND('Mapa final'!$H$10="Alta",'Mapa final'!$L$10="Catastrófico"),CONCATENATE("R",'Mapa final'!$A$10),"")</f>
        <v/>
      </c>
      <c r="AI14" s="563"/>
      <c r="AJ14" s="563" t="str">
        <f>IF(AND('Mapa final'!$H$16="Alta",'Mapa final'!$L$16="Catastrófico"),CONCATENATE("R",'Mapa final'!$A$16),"")</f>
        <v/>
      </c>
      <c r="AK14" s="563"/>
      <c r="AL14" s="563" t="str">
        <f>IF(AND('Mapa final'!$H$22="Alta",'Mapa final'!$L$22="Catastrófico"),CONCATENATE("R",'Mapa final'!$A$22),"")</f>
        <v/>
      </c>
      <c r="AM14" s="564"/>
      <c r="AN14" s="70"/>
      <c r="AO14" s="598" t="s">
        <v>77</v>
      </c>
      <c r="AP14" s="599"/>
      <c r="AQ14" s="599"/>
      <c r="AR14" s="599"/>
      <c r="AS14" s="599"/>
      <c r="AT14" s="60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587"/>
      <c r="C15" s="587"/>
      <c r="D15" s="588"/>
      <c r="E15" s="579"/>
      <c r="F15" s="580"/>
      <c r="G15" s="580"/>
      <c r="H15" s="580"/>
      <c r="I15" s="585"/>
      <c r="J15" s="547"/>
      <c r="K15" s="548"/>
      <c r="L15" s="548"/>
      <c r="M15" s="548"/>
      <c r="N15" s="548"/>
      <c r="O15" s="549"/>
      <c r="P15" s="547"/>
      <c r="Q15" s="548"/>
      <c r="R15" s="548"/>
      <c r="S15" s="548"/>
      <c r="T15" s="548"/>
      <c r="U15" s="549"/>
      <c r="V15" s="565"/>
      <c r="W15" s="566"/>
      <c r="X15" s="566"/>
      <c r="Y15" s="566"/>
      <c r="Z15" s="566"/>
      <c r="AA15" s="568"/>
      <c r="AB15" s="565"/>
      <c r="AC15" s="566"/>
      <c r="AD15" s="566"/>
      <c r="AE15" s="566"/>
      <c r="AF15" s="566"/>
      <c r="AG15" s="568"/>
      <c r="AH15" s="556"/>
      <c r="AI15" s="557"/>
      <c r="AJ15" s="557"/>
      <c r="AK15" s="557"/>
      <c r="AL15" s="557"/>
      <c r="AM15" s="558"/>
      <c r="AN15" s="70"/>
      <c r="AO15" s="601"/>
      <c r="AP15" s="602"/>
      <c r="AQ15" s="602"/>
      <c r="AR15" s="602"/>
      <c r="AS15" s="602"/>
      <c r="AT15" s="60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587"/>
      <c r="C16" s="587"/>
      <c r="D16" s="588"/>
      <c r="E16" s="579"/>
      <c r="F16" s="580"/>
      <c r="G16" s="580"/>
      <c r="H16" s="580"/>
      <c r="I16" s="585"/>
      <c r="J16" s="547" t="str">
        <f>IF(AND('Mapa final'!$H$28="Alta",'Mapa final'!$L$28="Leve"),CONCATENATE("R",'Mapa final'!$A$28),"")</f>
        <v/>
      </c>
      <c r="K16" s="548"/>
      <c r="L16" s="548" t="str">
        <f>IF(AND('Mapa final'!$H$34="Alta",'Mapa final'!$L$34="Leve"),CONCATENATE("R",'Mapa final'!$A$34),"")</f>
        <v/>
      </c>
      <c r="M16" s="548"/>
      <c r="N16" s="548" t="str">
        <f>IF(AND('Mapa final'!$H$40="Alta",'Mapa final'!$L$40="Leve"),CONCATENATE("R",'Mapa final'!$A$40),"")</f>
        <v/>
      </c>
      <c r="O16" s="549"/>
      <c r="P16" s="547" t="str">
        <f>IF(AND('Mapa final'!$H$28="Alta",'Mapa final'!$L$28="Menor"),CONCATENATE("R",'Mapa final'!$A$28),"")</f>
        <v/>
      </c>
      <c r="Q16" s="548"/>
      <c r="R16" s="548" t="str">
        <f>IF(AND('Mapa final'!$H$34="Alta",'Mapa final'!$L$34="Menor"),CONCATENATE("R",'Mapa final'!$A$34),"")</f>
        <v/>
      </c>
      <c r="S16" s="548"/>
      <c r="T16" s="548" t="str">
        <f>IF(AND('Mapa final'!$H$40="Alta",'Mapa final'!$L$40="Menor"),CONCATENATE("R",'Mapa final'!$A$40),"")</f>
        <v/>
      </c>
      <c r="U16" s="549"/>
      <c r="V16" s="565" t="str">
        <f>IF(AND('Mapa final'!$H$28="Alta",'Mapa final'!$L$28="Moderado"),CONCATENATE("R",'Mapa final'!$A$28),"")</f>
        <v/>
      </c>
      <c r="W16" s="566"/>
      <c r="X16" s="567" t="str">
        <f>IF(AND('Mapa final'!$H$34="Alta",'Mapa final'!$L$34="Moderado"),CONCATENATE("R",'Mapa final'!$A$34),"")</f>
        <v/>
      </c>
      <c r="Y16" s="567"/>
      <c r="Z16" s="567" t="str">
        <f>IF(AND('Mapa final'!$H$40="Alta",'Mapa final'!$L$40="Moderado"),CONCATENATE("R",'Mapa final'!$A$40),"")</f>
        <v/>
      </c>
      <c r="AA16" s="568"/>
      <c r="AB16" s="565" t="str">
        <f>IF(AND('Mapa final'!$H$28="Alta",'Mapa final'!$L$28="Mayor"),CONCATENATE("R",'Mapa final'!$A$28),"")</f>
        <v/>
      </c>
      <c r="AC16" s="566"/>
      <c r="AD16" s="567" t="str">
        <f>IF(AND('Mapa final'!$H$34="Alta",'Mapa final'!$L$34="Mayor"),CONCATENATE("R",'Mapa final'!$A$34),"")</f>
        <v/>
      </c>
      <c r="AE16" s="567"/>
      <c r="AF16" s="567" t="str">
        <f>IF(AND('Mapa final'!$H$40="Alta",'Mapa final'!$L$40="Mayor"),CONCATENATE("R",'Mapa final'!$A$40),"")</f>
        <v/>
      </c>
      <c r="AG16" s="568"/>
      <c r="AH16" s="556" t="str">
        <f>IF(AND('Mapa final'!$H$28="Alta",'Mapa final'!$L$28="Catastrófico"),CONCATENATE("R",'Mapa final'!$A$28),"")</f>
        <v/>
      </c>
      <c r="AI16" s="557"/>
      <c r="AJ16" s="557" t="str">
        <f>IF(AND('Mapa final'!$H$34="Alta",'Mapa final'!$L$34="Catastrófico"),CONCATENATE("R",'Mapa final'!$A$34),"")</f>
        <v/>
      </c>
      <c r="AK16" s="557"/>
      <c r="AL16" s="557" t="str">
        <f>IF(AND('Mapa final'!$H$40="Alta",'Mapa final'!$L$40="Catastrófico"),CONCATENATE("R",'Mapa final'!$A$40),"")</f>
        <v/>
      </c>
      <c r="AM16" s="558"/>
      <c r="AN16" s="70"/>
      <c r="AO16" s="601"/>
      <c r="AP16" s="602"/>
      <c r="AQ16" s="602"/>
      <c r="AR16" s="602"/>
      <c r="AS16" s="602"/>
      <c r="AT16" s="603"/>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587"/>
      <c r="C17" s="587"/>
      <c r="D17" s="588"/>
      <c r="E17" s="579"/>
      <c r="F17" s="580"/>
      <c r="G17" s="580"/>
      <c r="H17" s="580"/>
      <c r="I17" s="585"/>
      <c r="J17" s="547"/>
      <c r="K17" s="548"/>
      <c r="L17" s="548"/>
      <c r="M17" s="548"/>
      <c r="N17" s="548"/>
      <c r="O17" s="549"/>
      <c r="P17" s="547"/>
      <c r="Q17" s="548"/>
      <c r="R17" s="548"/>
      <c r="S17" s="548"/>
      <c r="T17" s="548"/>
      <c r="U17" s="549"/>
      <c r="V17" s="565"/>
      <c r="W17" s="566"/>
      <c r="X17" s="567"/>
      <c r="Y17" s="567"/>
      <c r="Z17" s="567"/>
      <c r="AA17" s="568"/>
      <c r="AB17" s="565"/>
      <c r="AC17" s="566"/>
      <c r="AD17" s="567"/>
      <c r="AE17" s="567"/>
      <c r="AF17" s="567"/>
      <c r="AG17" s="568"/>
      <c r="AH17" s="556"/>
      <c r="AI17" s="557"/>
      <c r="AJ17" s="557"/>
      <c r="AK17" s="557"/>
      <c r="AL17" s="557"/>
      <c r="AM17" s="558"/>
      <c r="AN17" s="70"/>
      <c r="AO17" s="601"/>
      <c r="AP17" s="602"/>
      <c r="AQ17" s="602"/>
      <c r="AR17" s="602"/>
      <c r="AS17" s="602"/>
      <c r="AT17" s="60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587"/>
      <c r="C18" s="587"/>
      <c r="D18" s="588"/>
      <c r="E18" s="579"/>
      <c r="F18" s="580"/>
      <c r="G18" s="580"/>
      <c r="H18" s="580"/>
      <c r="I18" s="585"/>
      <c r="J18" s="547" t="str">
        <f>IF(AND('Mapa final'!$H$46="Alta",'Mapa final'!$L$46="Leve"),CONCATENATE("R",'Mapa final'!$A$46),"")</f>
        <v/>
      </c>
      <c r="K18" s="548"/>
      <c r="L18" s="548" t="str">
        <f>IF(AND('Mapa final'!$H$52="Alta",'Mapa final'!$L$52="Leve"),CONCATENATE("R",'Mapa final'!$A$52),"")</f>
        <v/>
      </c>
      <c r="M18" s="548"/>
      <c r="N18" s="548" t="str">
        <f>IF(AND('Mapa final'!$H$58="Alta",'Mapa final'!$L$58="Leve"),CONCATENATE("R",'Mapa final'!$A$58),"")</f>
        <v/>
      </c>
      <c r="O18" s="549"/>
      <c r="P18" s="547" t="str">
        <f>IF(AND('Mapa final'!$H$46="Alta",'Mapa final'!$L$46="Menor"),CONCATENATE("R",'Mapa final'!$A$46),"")</f>
        <v/>
      </c>
      <c r="Q18" s="548"/>
      <c r="R18" s="548" t="str">
        <f>IF(AND('Mapa final'!$H$52="Alta",'Mapa final'!$L$52="Menor"),CONCATENATE("R",'Mapa final'!$A$52),"")</f>
        <v/>
      </c>
      <c r="S18" s="548"/>
      <c r="T18" s="548" t="str">
        <f>IF(AND('Mapa final'!$H$58="Alta",'Mapa final'!$L$58="Menor"),CONCATENATE("R",'Mapa final'!$A$58),"")</f>
        <v/>
      </c>
      <c r="U18" s="549"/>
      <c r="V18" s="565" t="str">
        <f>IF(AND('Mapa final'!$H$46="Alta",'Mapa final'!$L$46="Moderado"),CONCATENATE("R",'Mapa final'!$A$46),"")</f>
        <v/>
      </c>
      <c r="W18" s="566"/>
      <c r="X18" s="567" t="str">
        <f>IF(AND('Mapa final'!$H$52="Alta",'Mapa final'!$L$52="Moderado"),CONCATENATE("R",'Mapa final'!$A$52),"")</f>
        <v/>
      </c>
      <c r="Y18" s="567"/>
      <c r="Z18" s="567" t="str">
        <f>IF(AND('Mapa final'!$H$58="Alta",'Mapa final'!$L$58="Moderado"),CONCATENATE("R",'Mapa final'!$A$58),"")</f>
        <v/>
      </c>
      <c r="AA18" s="568"/>
      <c r="AB18" s="565" t="str">
        <f>IF(AND('Mapa final'!$H$46="Alta",'Mapa final'!$L$46="Mayor"),CONCATENATE("R",'Mapa final'!$A$46),"")</f>
        <v/>
      </c>
      <c r="AC18" s="566"/>
      <c r="AD18" s="567" t="str">
        <f>IF(AND('Mapa final'!$H$52="Alta",'Mapa final'!$L$52="Mayor"),CONCATENATE("R",'Mapa final'!$A$52),"")</f>
        <v/>
      </c>
      <c r="AE18" s="567"/>
      <c r="AF18" s="567" t="str">
        <f>IF(AND('Mapa final'!$H$58="Alta",'Mapa final'!$L$58="Mayor"),CONCATENATE("R",'Mapa final'!$A$58),"")</f>
        <v/>
      </c>
      <c r="AG18" s="568"/>
      <c r="AH18" s="556" t="str">
        <f>IF(AND('Mapa final'!$H$46="Alta",'Mapa final'!$L$46="Catastrófico"),CONCATENATE("R",'Mapa final'!$A$46),"")</f>
        <v/>
      </c>
      <c r="AI18" s="557"/>
      <c r="AJ18" s="557" t="str">
        <f>IF(AND('Mapa final'!$H$52="Alta",'Mapa final'!$L$52="Catastrófico"),CONCATENATE("R",'Mapa final'!$A$52),"")</f>
        <v/>
      </c>
      <c r="AK18" s="557"/>
      <c r="AL18" s="557" t="str">
        <f>IF(AND('Mapa final'!$H$58="Alta",'Mapa final'!$L$58="Catastrófico"),CONCATENATE("R",'Mapa final'!$A$58),"")</f>
        <v/>
      </c>
      <c r="AM18" s="558"/>
      <c r="AN18" s="70"/>
      <c r="AO18" s="601"/>
      <c r="AP18" s="602"/>
      <c r="AQ18" s="602"/>
      <c r="AR18" s="602"/>
      <c r="AS18" s="602"/>
      <c r="AT18" s="60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587"/>
      <c r="C19" s="587"/>
      <c r="D19" s="588"/>
      <c r="E19" s="579"/>
      <c r="F19" s="580"/>
      <c r="G19" s="580"/>
      <c r="H19" s="580"/>
      <c r="I19" s="585"/>
      <c r="J19" s="547"/>
      <c r="K19" s="548"/>
      <c r="L19" s="548"/>
      <c r="M19" s="548"/>
      <c r="N19" s="548"/>
      <c r="O19" s="549"/>
      <c r="P19" s="547"/>
      <c r="Q19" s="548"/>
      <c r="R19" s="548"/>
      <c r="S19" s="548"/>
      <c r="T19" s="548"/>
      <c r="U19" s="549"/>
      <c r="V19" s="565"/>
      <c r="W19" s="566"/>
      <c r="X19" s="567"/>
      <c r="Y19" s="567"/>
      <c r="Z19" s="567"/>
      <c r="AA19" s="568"/>
      <c r="AB19" s="565"/>
      <c r="AC19" s="566"/>
      <c r="AD19" s="567"/>
      <c r="AE19" s="567"/>
      <c r="AF19" s="567"/>
      <c r="AG19" s="568"/>
      <c r="AH19" s="556"/>
      <c r="AI19" s="557"/>
      <c r="AJ19" s="557"/>
      <c r="AK19" s="557"/>
      <c r="AL19" s="557"/>
      <c r="AM19" s="558"/>
      <c r="AN19" s="70"/>
      <c r="AO19" s="601"/>
      <c r="AP19" s="602"/>
      <c r="AQ19" s="602"/>
      <c r="AR19" s="602"/>
      <c r="AS19" s="602"/>
      <c r="AT19" s="60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587"/>
      <c r="C20" s="587"/>
      <c r="D20" s="588"/>
      <c r="E20" s="579"/>
      <c r="F20" s="580"/>
      <c r="G20" s="580"/>
      <c r="H20" s="580"/>
      <c r="I20" s="585"/>
      <c r="J20" s="547" t="str">
        <f>IF(AND('Mapa final'!$H$64="Alta",'Mapa final'!$L$64="Leve"),CONCATENATE("R",'Mapa final'!$A$64),"")</f>
        <v/>
      </c>
      <c r="K20" s="548"/>
      <c r="L20" s="548" t="str">
        <f>IF(AND('Mapa final'!$H$70="Alta",'Mapa final'!$L$70="Leve"),CONCATENATE("R",'Mapa final'!$A$70),"")</f>
        <v/>
      </c>
      <c r="M20" s="548"/>
      <c r="N20" s="548" t="str">
        <f>IF(AND('Mapa final'!$H$76="Alta",'Mapa final'!$L$76="Leve"),CONCATENATE("R",'Mapa final'!$A$76),"")</f>
        <v/>
      </c>
      <c r="O20" s="549"/>
      <c r="P20" s="547" t="str">
        <f>IF(AND('Mapa final'!$H$64="Alta",'Mapa final'!$L$64="Menor"),CONCATENATE("R",'Mapa final'!$A$64),"")</f>
        <v/>
      </c>
      <c r="Q20" s="548"/>
      <c r="R20" s="548" t="str">
        <f>IF(AND('Mapa final'!$H$70="Alta",'Mapa final'!$L$70="Menor"),CONCATENATE("R",'Mapa final'!$A$70),"")</f>
        <v/>
      </c>
      <c r="S20" s="548"/>
      <c r="T20" s="548" t="str">
        <f>IF(AND('Mapa final'!$H$76="Alta",'Mapa final'!$L$76="Menor"),CONCATENATE("R",'Mapa final'!$A$76),"")</f>
        <v/>
      </c>
      <c r="U20" s="549"/>
      <c r="V20" s="565" t="str">
        <f>IF(AND('Mapa final'!$H$64="Alta",'Mapa final'!$L$64="Moderado"),CONCATENATE("R",'Mapa final'!$A$64),"")</f>
        <v/>
      </c>
      <c r="W20" s="566"/>
      <c r="X20" s="567" t="str">
        <f>IF(AND('Mapa final'!$H$70="Alta",'Mapa final'!$L$70="Moderado"),CONCATENATE("R",'Mapa final'!$A$70),"")</f>
        <v/>
      </c>
      <c r="Y20" s="567"/>
      <c r="Z20" s="567" t="str">
        <f>IF(AND('Mapa final'!$H$76="Alta",'Mapa final'!$L$76="Moderado"),CONCATENATE("R",'Mapa final'!$A$76),"")</f>
        <v/>
      </c>
      <c r="AA20" s="568"/>
      <c r="AB20" s="565" t="str">
        <f>IF(AND('Mapa final'!$H$64="Alta",'Mapa final'!$L$64="Mayor"),CONCATENATE("R",'Mapa final'!$A$64),"")</f>
        <v/>
      </c>
      <c r="AC20" s="566"/>
      <c r="AD20" s="567" t="str">
        <f>IF(AND('Mapa final'!$H$70="Alta",'Mapa final'!$L$70="Mayor"),CONCATENATE("R",'Mapa final'!$A$70),"")</f>
        <v/>
      </c>
      <c r="AE20" s="567"/>
      <c r="AF20" s="567" t="str">
        <f>IF(AND('Mapa final'!$H$76="Alta",'Mapa final'!$L$76="Mayor"),CONCATENATE("R",'Mapa final'!$A$76),"")</f>
        <v/>
      </c>
      <c r="AG20" s="568"/>
      <c r="AH20" s="556" t="str">
        <f>IF(AND('Mapa final'!$H$64="Alta",'Mapa final'!$L$64="Catastrófico"),CONCATENATE("R",'Mapa final'!$A$64),"")</f>
        <v/>
      </c>
      <c r="AI20" s="557"/>
      <c r="AJ20" s="557" t="str">
        <f>IF(AND('Mapa final'!$H$70="Alta",'Mapa final'!$L$70="Catastrófico"),CONCATENATE("R",'Mapa final'!$A$70),"")</f>
        <v/>
      </c>
      <c r="AK20" s="557"/>
      <c r="AL20" s="557" t="str">
        <f>IF(AND('Mapa final'!$H$76="Alta",'Mapa final'!$L$76="Catastrófico"),CONCATENATE("R",'Mapa final'!$A$76),"")</f>
        <v/>
      </c>
      <c r="AM20" s="558"/>
      <c r="AN20" s="70"/>
      <c r="AO20" s="601"/>
      <c r="AP20" s="602"/>
      <c r="AQ20" s="602"/>
      <c r="AR20" s="602"/>
      <c r="AS20" s="602"/>
      <c r="AT20" s="60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587"/>
      <c r="C21" s="587"/>
      <c r="D21" s="588"/>
      <c r="E21" s="582"/>
      <c r="F21" s="583"/>
      <c r="G21" s="583"/>
      <c r="H21" s="583"/>
      <c r="I21" s="583"/>
      <c r="J21" s="550"/>
      <c r="K21" s="551"/>
      <c r="L21" s="551"/>
      <c r="M21" s="551"/>
      <c r="N21" s="551"/>
      <c r="O21" s="552"/>
      <c r="P21" s="550"/>
      <c r="Q21" s="551"/>
      <c r="R21" s="551"/>
      <c r="S21" s="551"/>
      <c r="T21" s="551"/>
      <c r="U21" s="552"/>
      <c r="V21" s="569"/>
      <c r="W21" s="570"/>
      <c r="X21" s="570"/>
      <c r="Y21" s="570"/>
      <c r="Z21" s="570"/>
      <c r="AA21" s="571"/>
      <c r="AB21" s="569"/>
      <c r="AC21" s="570"/>
      <c r="AD21" s="570"/>
      <c r="AE21" s="570"/>
      <c r="AF21" s="570"/>
      <c r="AG21" s="571"/>
      <c r="AH21" s="559"/>
      <c r="AI21" s="560"/>
      <c r="AJ21" s="560"/>
      <c r="AK21" s="560"/>
      <c r="AL21" s="560"/>
      <c r="AM21" s="561"/>
      <c r="AN21" s="70"/>
      <c r="AO21" s="604"/>
      <c r="AP21" s="605"/>
      <c r="AQ21" s="605"/>
      <c r="AR21" s="605"/>
      <c r="AS21" s="605"/>
      <c r="AT21" s="606"/>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587"/>
      <c r="C22" s="587"/>
      <c r="D22" s="588"/>
      <c r="E22" s="576" t="s">
        <v>114</v>
      </c>
      <c r="F22" s="577"/>
      <c r="G22" s="577"/>
      <c r="H22" s="577"/>
      <c r="I22" s="578"/>
      <c r="J22" s="553" t="str">
        <f>IF(AND('Mapa final'!$H$10="Media",'Mapa final'!$L$10="Leve"),CONCATENATE("R",'Mapa final'!$A$10),"")</f>
        <v/>
      </c>
      <c r="K22" s="554"/>
      <c r="L22" s="554" t="str">
        <f>IF(AND('Mapa final'!$H$16="Media",'Mapa final'!$L$16="Leve"),CONCATENATE("R",'Mapa final'!$A$16),"")</f>
        <v/>
      </c>
      <c r="M22" s="554"/>
      <c r="N22" s="554" t="str">
        <f>IF(AND('Mapa final'!$H$22="Media",'Mapa final'!$L$22="Leve"),CONCATENATE("R",'Mapa final'!$A$22),"")</f>
        <v/>
      </c>
      <c r="O22" s="555"/>
      <c r="P22" s="553" t="str">
        <f>IF(AND('Mapa final'!$H$10="Media",'Mapa final'!$L$10="Menor"),CONCATENATE("R",'Mapa final'!$A$10),"")</f>
        <v/>
      </c>
      <c r="Q22" s="554"/>
      <c r="R22" s="554" t="str">
        <f>IF(AND('Mapa final'!$H$16="Media",'Mapa final'!$L$16="Menor"),CONCATENATE("R",'Mapa final'!$A$16),"")</f>
        <v>R2</v>
      </c>
      <c r="S22" s="554"/>
      <c r="T22" s="554" t="str">
        <f>IF(AND('Mapa final'!$H$22="Media",'Mapa final'!$L$22="Menor"),CONCATENATE("R",'Mapa final'!$A$22),"")</f>
        <v/>
      </c>
      <c r="U22" s="555"/>
      <c r="V22" s="553" t="str">
        <f>IF(AND('Mapa final'!$H$10="Media",'Mapa final'!$L$10="Moderado"),CONCATENATE("R",'Mapa final'!$A$10),"")</f>
        <v/>
      </c>
      <c r="W22" s="554"/>
      <c r="X22" s="554" t="str">
        <f>IF(AND('Mapa final'!$H$16="Media",'Mapa final'!$L$16="Moderado"),CONCATENATE("R",'Mapa final'!$A$16),"")</f>
        <v/>
      </c>
      <c r="Y22" s="554"/>
      <c r="Z22" s="554" t="str">
        <f>IF(AND('Mapa final'!$H$22="Media",'Mapa final'!$L$22="Moderado"),CONCATENATE("R",'Mapa final'!$A$22),"")</f>
        <v/>
      </c>
      <c r="AA22" s="555"/>
      <c r="AB22" s="572" t="str">
        <f>IF(AND('Mapa final'!$H$10="Media",'Mapa final'!$L$10="Mayor"),CONCATENATE("R",'Mapa final'!$A$10),"")</f>
        <v/>
      </c>
      <c r="AC22" s="573"/>
      <c r="AD22" s="573" t="str">
        <f>IF(AND('Mapa final'!$H$16="Media",'Mapa final'!$L$16="Mayor"),CONCATENATE("R",'Mapa final'!$A$16),"")</f>
        <v/>
      </c>
      <c r="AE22" s="573"/>
      <c r="AF22" s="573" t="str">
        <f>IF(AND('Mapa final'!$H$22="Media",'Mapa final'!$L$22="Mayor"),CONCATENATE("R",'Mapa final'!$A$22),"")</f>
        <v/>
      </c>
      <c r="AG22" s="574"/>
      <c r="AH22" s="562" t="str">
        <f>IF(AND('Mapa final'!$H$10="Media",'Mapa final'!$L$10="Catastrófico"),CONCATENATE("R",'Mapa final'!$A$10),"")</f>
        <v/>
      </c>
      <c r="AI22" s="563"/>
      <c r="AJ22" s="563" t="str">
        <f>IF(AND('Mapa final'!$H$16="Media",'Mapa final'!$L$16="Catastrófico"),CONCATENATE("R",'Mapa final'!$A$16),"")</f>
        <v/>
      </c>
      <c r="AK22" s="563"/>
      <c r="AL22" s="563" t="str">
        <f>IF(AND('Mapa final'!$H$22="Media",'Mapa final'!$L$22="Catastrófico"),CONCATENATE("R",'Mapa final'!$A$22),"")</f>
        <v/>
      </c>
      <c r="AM22" s="564"/>
      <c r="AN22" s="70"/>
      <c r="AO22" s="607" t="s">
        <v>78</v>
      </c>
      <c r="AP22" s="608"/>
      <c r="AQ22" s="608"/>
      <c r="AR22" s="608"/>
      <c r="AS22" s="608"/>
      <c r="AT22" s="60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35">
      <c r="A23" s="70"/>
      <c r="B23" s="587"/>
      <c r="C23" s="587"/>
      <c r="D23" s="588"/>
      <c r="E23" s="579"/>
      <c r="F23" s="580"/>
      <c r="G23" s="580"/>
      <c r="H23" s="580"/>
      <c r="I23" s="581"/>
      <c r="J23" s="547"/>
      <c r="K23" s="548"/>
      <c r="L23" s="548"/>
      <c r="M23" s="548"/>
      <c r="N23" s="548"/>
      <c r="O23" s="549"/>
      <c r="P23" s="547"/>
      <c r="Q23" s="548"/>
      <c r="R23" s="548"/>
      <c r="S23" s="548"/>
      <c r="T23" s="548"/>
      <c r="U23" s="549"/>
      <c r="V23" s="547"/>
      <c r="W23" s="548"/>
      <c r="X23" s="548"/>
      <c r="Y23" s="548"/>
      <c r="Z23" s="548"/>
      <c r="AA23" s="549"/>
      <c r="AB23" s="565"/>
      <c r="AC23" s="566"/>
      <c r="AD23" s="566"/>
      <c r="AE23" s="566"/>
      <c r="AF23" s="566"/>
      <c r="AG23" s="568"/>
      <c r="AH23" s="556"/>
      <c r="AI23" s="557"/>
      <c r="AJ23" s="557"/>
      <c r="AK23" s="557"/>
      <c r="AL23" s="557"/>
      <c r="AM23" s="558"/>
      <c r="AN23" s="70"/>
      <c r="AO23" s="610"/>
      <c r="AP23" s="611"/>
      <c r="AQ23" s="611"/>
      <c r="AR23" s="611"/>
      <c r="AS23" s="611"/>
      <c r="AT23" s="61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587"/>
      <c r="C24" s="587"/>
      <c r="D24" s="588"/>
      <c r="E24" s="579"/>
      <c r="F24" s="580"/>
      <c r="G24" s="580"/>
      <c r="H24" s="580"/>
      <c r="I24" s="581"/>
      <c r="J24" s="547" t="str">
        <f>IF(AND('Mapa final'!$H$28="Media",'Mapa final'!$L$28="Leve"),CONCATENATE("R",'Mapa final'!$A$28),"")</f>
        <v/>
      </c>
      <c r="K24" s="548"/>
      <c r="L24" s="548" t="str">
        <f>IF(AND('Mapa final'!$H$34="Media",'Mapa final'!$L$34="Leve"),CONCATENATE("R",'Mapa final'!$A$34),"")</f>
        <v/>
      </c>
      <c r="M24" s="548"/>
      <c r="N24" s="548" t="str">
        <f>IF(AND('Mapa final'!$H$40="Media",'Mapa final'!$L$40="Leve"),CONCATENATE("R",'Mapa final'!$A$40),"")</f>
        <v/>
      </c>
      <c r="O24" s="549"/>
      <c r="P24" s="547" t="str">
        <f>IF(AND('Mapa final'!$H$28="Media",'Mapa final'!$L$28="Menor"),CONCATENATE("R",'Mapa final'!$A$28),"")</f>
        <v/>
      </c>
      <c r="Q24" s="548"/>
      <c r="R24" s="548" t="str">
        <f>IF(AND('Mapa final'!$H$34="Media",'Mapa final'!$L$34="Menor"),CONCATENATE("R",'Mapa final'!$A$34),"")</f>
        <v/>
      </c>
      <c r="S24" s="548"/>
      <c r="T24" s="548" t="str">
        <f>IF(AND('Mapa final'!$H$40="Media",'Mapa final'!$L$40="Menor"),CONCATENATE("R",'Mapa final'!$A$40),"")</f>
        <v/>
      </c>
      <c r="U24" s="549"/>
      <c r="V24" s="547" t="str">
        <f>IF(AND('Mapa final'!$H$28="Media",'Mapa final'!$L$28="Moderado"),CONCATENATE("R",'Mapa final'!$A$28),"")</f>
        <v/>
      </c>
      <c r="W24" s="548"/>
      <c r="X24" s="548" t="str">
        <f>IF(AND('Mapa final'!$H$34="Media",'Mapa final'!$L$34="Moderado"),CONCATENATE("R",'Mapa final'!$A$34),"")</f>
        <v/>
      </c>
      <c r="Y24" s="548"/>
      <c r="Z24" s="548" t="str">
        <f>IF(AND('Mapa final'!$H$40="Media",'Mapa final'!$L$40="Moderado"),CONCATENATE("R",'Mapa final'!$A$40),"")</f>
        <v/>
      </c>
      <c r="AA24" s="549"/>
      <c r="AB24" s="565" t="str">
        <f>IF(AND('Mapa final'!$H$28="Media",'Mapa final'!$L$28="Mayor"),CONCATENATE("R",'Mapa final'!$A$28),"")</f>
        <v/>
      </c>
      <c r="AC24" s="566"/>
      <c r="AD24" s="567" t="str">
        <f>IF(AND('Mapa final'!$H$34="Media",'Mapa final'!$L$34="Mayor"),CONCATENATE("R",'Mapa final'!$A$34),"")</f>
        <v/>
      </c>
      <c r="AE24" s="567"/>
      <c r="AF24" s="567" t="str">
        <f>IF(AND('Mapa final'!$H$40="Media",'Mapa final'!$L$40="Mayor"),CONCATENATE("R",'Mapa final'!$A$40),"")</f>
        <v/>
      </c>
      <c r="AG24" s="568"/>
      <c r="AH24" s="556" t="str">
        <f>IF(AND('Mapa final'!$H$28="Media",'Mapa final'!$L$28="Catastrófico"),CONCATENATE("R",'Mapa final'!$A$28),"")</f>
        <v/>
      </c>
      <c r="AI24" s="557"/>
      <c r="AJ24" s="557" t="str">
        <f>IF(AND('Mapa final'!$H$34="Media",'Mapa final'!$L$34="Catastrófico"),CONCATENATE("R",'Mapa final'!$A$34),"")</f>
        <v/>
      </c>
      <c r="AK24" s="557"/>
      <c r="AL24" s="557" t="str">
        <f>IF(AND('Mapa final'!$H$40="Media",'Mapa final'!$L$40="Catastrófico"),CONCATENATE("R",'Mapa final'!$A$40),"")</f>
        <v/>
      </c>
      <c r="AM24" s="558"/>
      <c r="AN24" s="70"/>
      <c r="AO24" s="610"/>
      <c r="AP24" s="611"/>
      <c r="AQ24" s="611"/>
      <c r="AR24" s="611"/>
      <c r="AS24" s="611"/>
      <c r="AT24" s="61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587"/>
      <c r="C25" s="587"/>
      <c r="D25" s="588"/>
      <c r="E25" s="579"/>
      <c r="F25" s="580"/>
      <c r="G25" s="580"/>
      <c r="H25" s="580"/>
      <c r="I25" s="581"/>
      <c r="J25" s="547"/>
      <c r="K25" s="548"/>
      <c r="L25" s="548"/>
      <c r="M25" s="548"/>
      <c r="N25" s="548"/>
      <c r="O25" s="549"/>
      <c r="P25" s="547"/>
      <c r="Q25" s="548"/>
      <c r="R25" s="548"/>
      <c r="S25" s="548"/>
      <c r="T25" s="548"/>
      <c r="U25" s="549"/>
      <c r="V25" s="547"/>
      <c r="W25" s="548"/>
      <c r="X25" s="548"/>
      <c r="Y25" s="548"/>
      <c r="Z25" s="548"/>
      <c r="AA25" s="549"/>
      <c r="AB25" s="565"/>
      <c r="AC25" s="566"/>
      <c r="AD25" s="567"/>
      <c r="AE25" s="567"/>
      <c r="AF25" s="567"/>
      <c r="AG25" s="568"/>
      <c r="AH25" s="556"/>
      <c r="AI25" s="557"/>
      <c r="AJ25" s="557"/>
      <c r="AK25" s="557"/>
      <c r="AL25" s="557"/>
      <c r="AM25" s="558"/>
      <c r="AN25" s="70"/>
      <c r="AO25" s="610"/>
      <c r="AP25" s="611"/>
      <c r="AQ25" s="611"/>
      <c r="AR25" s="611"/>
      <c r="AS25" s="611"/>
      <c r="AT25" s="61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587"/>
      <c r="C26" s="587"/>
      <c r="D26" s="588"/>
      <c r="E26" s="579"/>
      <c r="F26" s="580"/>
      <c r="G26" s="580"/>
      <c r="H26" s="580"/>
      <c r="I26" s="581"/>
      <c r="J26" s="547" t="str">
        <f>IF(AND('Mapa final'!$H$46="Media",'Mapa final'!$L$46="Leve"),CONCATENATE("R",'Mapa final'!$A$46),"")</f>
        <v/>
      </c>
      <c r="K26" s="548"/>
      <c r="L26" s="548" t="str">
        <f>IF(AND('Mapa final'!$H$52="Media",'Mapa final'!$L$52="Leve"),CONCATENATE("R",'Mapa final'!$A$52),"")</f>
        <v/>
      </c>
      <c r="M26" s="548"/>
      <c r="N26" s="548" t="str">
        <f>IF(AND('Mapa final'!$H$58="Media",'Mapa final'!$L$58="Leve"),CONCATENATE("R",'Mapa final'!$A$58),"")</f>
        <v/>
      </c>
      <c r="O26" s="549"/>
      <c r="P26" s="547" t="str">
        <f>IF(AND('Mapa final'!$H$46="Media",'Mapa final'!$L$46="Menor"),CONCATENATE("R",'Mapa final'!$A$46),"")</f>
        <v/>
      </c>
      <c r="Q26" s="548"/>
      <c r="R26" s="548" t="str">
        <f>IF(AND('Mapa final'!$H$52="Media",'Mapa final'!$L$52="Menor"),CONCATENATE("R",'Mapa final'!$A$52),"")</f>
        <v/>
      </c>
      <c r="S26" s="548"/>
      <c r="T26" s="548" t="str">
        <f>IF(AND('Mapa final'!$H$58="Media",'Mapa final'!$L$58="Menor"),CONCATENATE("R",'Mapa final'!$A$58),"")</f>
        <v/>
      </c>
      <c r="U26" s="549"/>
      <c r="V26" s="547" t="str">
        <f>IF(AND('Mapa final'!$H$46="Media",'Mapa final'!$L$46="Moderado"),CONCATENATE("R",'Mapa final'!$A$46),"")</f>
        <v/>
      </c>
      <c r="W26" s="548"/>
      <c r="X26" s="548" t="str">
        <f>IF(AND('Mapa final'!$H$52="Media",'Mapa final'!$L$52="Moderado"),CONCATENATE("R",'Mapa final'!$A$52),"")</f>
        <v/>
      </c>
      <c r="Y26" s="548"/>
      <c r="Z26" s="548" t="str">
        <f>IF(AND('Mapa final'!$H$58="Media",'Mapa final'!$L$58="Moderado"),CONCATENATE("R",'Mapa final'!$A$58),"")</f>
        <v/>
      </c>
      <c r="AA26" s="549"/>
      <c r="AB26" s="565" t="str">
        <f>IF(AND('Mapa final'!$H$46="Media",'Mapa final'!$L$46="Mayor"),CONCATENATE("R",'Mapa final'!$A$46),"")</f>
        <v/>
      </c>
      <c r="AC26" s="566"/>
      <c r="AD26" s="567" t="str">
        <f>IF(AND('Mapa final'!$H$52="Media",'Mapa final'!$L$52="Mayor"),CONCATENATE("R",'Mapa final'!$A$52),"")</f>
        <v/>
      </c>
      <c r="AE26" s="567"/>
      <c r="AF26" s="567" t="str">
        <f>IF(AND('Mapa final'!$H$58="Media",'Mapa final'!$L$58="Mayor"),CONCATENATE("R",'Mapa final'!$A$58),"")</f>
        <v/>
      </c>
      <c r="AG26" s="568"/>
      <c r="AH26" s="556" t="str">
        <f>IF(AND('Mapa final'!$H$46="Media",'Mapa final'!$L$46="Catastrófico"),CONCATENATE("R",'Mapa final'!$A$46),"")</f>
        <v/>
      </c>
      <c r="AI26" s="557"/>
      <c r="AJ26" s="557" t="str">
        <f>IF(AND('Mapa final'!$H$52="Media",'Mapa final'!$L$52="Catastrófico"),CONCATENATE("R",'Mapa final'!$A$52),"")</f>
        <v/>
      </c>
      <c r="AK26" s="557"/>
      <c r="AL26" s="557" t="str">
        <f>IF(AND('Mapa final'!$H$58="Media",'Mapa final'!$L$58="Catastrófico"),CONCATENATE("R",'Mapa final'!$A$58),"")</f>
        <v/>
      </c>
      <c r="AM26" s="558"/>
      <c r="AN26" s="70"/>
      <c r="AO26" s="610"/>
      <c r="AP26" s="611"/>
      <c r="AQ26" s="611"/>
      <c r="AR26" s="611"/>
      <c r="AS26" s="611"/>
      <c r="AT26" s="612"/>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587"/>
      <c r="C27" s="587"/>
      <c r="D27" s="588"/>
      <c r="E27" s="579"/>
      <c r="F27" s="580"/>
      <c r="G27" s="580"/>
      <c r="H27" s="580"/>
      <c r="I27" s="581"/>
      <c r="J27" s="547"/>
      <c r="K27" s="548"/>
      <c r="L27" s="548"/>
      <c r="M27" s="548"/>
      <c r="N27" s="548"/>
      <c r="O27" s="549"/>
      <c r="P27" s="547"/>
      <c r="Q27" s="548"/>
      <c r="R27" s="548"/>
      <c r="S27" s="548"/>
      <c r="T27" s="548"/>
      <c r="U27" s="549"/>
      <c r="V27" s="547"/>
      <c r="W27" s="548"/>
      <c r="X27" s="548"/>
      <c r="Y27" s="548"/>
      <c r="Z27" s="548"/>
      <c r="AA27" s="549"/>
      <c r="AB27" s="565"/>
      <c r="AC27" s="566"/>
      <c r="AD27" s="567"/>
      <c r="AE27" s="567"/>
      <c r="AF27" s="567"/>
      <c r="AG27" s="568"/>
      <c r="AH27" s="556"/>
      <c r="AI27" s="557"/>
      <c r="AJ27" s="557"/>
      <c r="AK27" s="557"/>
      <c r="AL27" s="557"/>
      <c r="AM27" s="558"/>
      <c r="AN27" s="70"/>
      <c r="AO27" s="610"/>
      <c r="AP27" s="611"/>
      <c r="AQ27" s="611"/>
      <c r="AR27" s="611"/>
      <c r="AS27" s="611"/>
      <c r="AT27" s="61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587"/>
      <c r="C28" s="587"/>
      <c r="D28" s="588"/>
      <c r="E28" s="579"/>
      <c r="F28" s="580"/>
      <c r="G28" s="580"/>
      <c r="H28" s="580"/>
      <c r="I28" s="581"/>
      <c r="J28" s="547" t="str">
        <f>IF(AND('Mapa final'!$H$64="Media",'Mapa final'!$L$64="Leve"),CONCATENATE("R",'Mapa final'!$A$64),"")</f>
        <v/>
      </c>
      <c r="K28" s="548"/>
      <c r="L28" s="548" t="str">
        <f>IF(AND('Mapa final'!$H$70="Media",'Mapa final'!$L$70="Leve"),CONCATENATE("R",'Mapa final'!$A$70),"")</f>
        <v/>
      </c>
      <c r="M28" s="548"/>
      <c r="N28" s="548" t="str">
        <f>IF(AND('Mapa final'!$H$76="Media",'Mapa final'!$L$76="Leve"),CONCATENATE("R",'Mapa final'!$A$76),"")</f>
        <v/>
      </c>
      <c r="O28" s="549"/>
      <c r="P28" s="547" t="str">
        <f>IF(AND('Mapa final'!$H$64="Media",'Mapa final'!$L$64="Menor"),CONCATENATE("R",'Mapa final'!$A$64),"")</f>
        <v/>
      </c>
      <c r="Q28" s="548"/>
      <c r="R28" s="548" t="str">
        <f>IF(AND('Mapa final'!$H$70="Media",'Mapa final'!$L$70="Menor"),CONCATENATE("R",'Mapa final'!$A$70),"")</f>
        <v/>
      </c>
      <c r="S28" s="548"/>
      <c r="T28" s="548" t="str">
        <f>IF(AND('Mapa final'!$H$76="Media",'Mapa final'!$L$76="Menor"),CONCATENATE("R",'Mapa final'!$A$76),"")</f>
        <v/>
      </c>
      <c r="U28" s="549"/>
      <c r="V28" s="547" t="str">
        <f>IF(AND('Mapa final'!$H$64="Media",'Mapa final'!$L$64="Moderado"),CONCATENATE("R",'Mapa final'!$A$64),"")</f>
        <v/>
      </c>
      <c r="W28" s="548"/>
      <c r="X28" s="548" t="str">
        <f>IF(AND('Mapa final'!$H$70="Media",'Mapa final'!$L$70="Moderado"),CONCATENATE("R",'Mapa final'!$A$70),"")</f>
        <v/>
      </c>
      <c r="Y28" s="548"/>
      <c r="Z28" s="548" t="str">
        <f>IF(AND('Mapa final'!$H$76="Media",'Mapa final'!$L$76="Moderado"),CONCATENATE("R",'Mapa final'!$A$76),"")</f>
        <v/>
      </c>
      <c r="AA28" s="549"/>
      <c r="AB28" s="565" t="str">
        <f>IF(AND('Mapa final'!$H$64="Media",'Mapa final'!$L$64="Mayor"),CONCATENATE("R",'Mapa final'!$A$64),"")</f>
        <v/>
      </c>
      <c r="AC28" s="566"/>
      <c r="AD28" s="567" t="str">
        <f>IF(AND('Mapa final'!$H$70="Media",'Mapa final'!$L$70="Mayor"),CONCATENATE("R",'Mapa final'!$A$70),"")</f>
        <v/>
      </c>
      <c r="AE28" s="567"/>
      <c r="AF28" s="567" t="str">
        <f>IF(AND('Mapa final'!$H$76="Media",'Mapa final'!$L$76="Mayor"),CONCATENATE("R",'Mapa final'!$A$76),"")</f>
        <v/>
      </c>
      <c r="AG28" s="568"/>
      <c r="AH28" s="556" t="str">
        <f>IF(AND('Mapa final'!$H$64="Media",'Mapa final'!$L$64="Catastrófico"),CONCATENATE("R",'Mapa final'!$A$64),"")</f>
        <v/>
      </c>
      <c r="AI28" s="557"/>
      <c r="AJ28" s="557" t="str">
        <f>IF(AND('Mapa final'!$H$70="Media",'Mapa final'!$L$70="Catastrófico"),CONCATENATE("R",'Mapa final'!$A$70),"")</f>
        <v/>
      </c>
      <c r="AK28" s="557"/>
      <c r="AL28" s="557" t="str">
        <f>IF(AND('Mapa final'!$H$76="Media",'Mapa final'!$L$76="Catastrófico"),CONCATENATE("R",'Mapa final'!$A$76),"")</f>
        <v/>
      </c>
      <c r="AM28" s="558"/>
      <c r="AN28" s="70"/>
      <c r="AO28" s="610"/>
      <c r="AP28" s="611"/>
      <c r="AQ28" s="611"/>
      <c r="AR28" s="611"/>
      <c r="AS28" s="611"/>
      <c r="AT28" s="61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587"/>
      <c r="C29" s="587"/>
      <c r="D29" s="588"/>
      <c r="E29" s="582"/>
      <c r="F29" s="583"/>
      <c r="G29" s="583"/>
      <c r="H29" s="583"/>
      <c r="I29" s="584"/>
      <c r="J29" s="547"/>
      <c r="K29" s="548"/>
      <c r="L29" s="548"/>
      <c r="M29" s="548"/>
      <c r="N29" s="548"/>
      <c r="O29" s="549"/>
      <c r="P29" s="550"/>
      <c r="Q29" s="551"/>
      <c r="R29" s="551"/>
      <c r="S29" s="551"/>
      <c r="T29" s="551"/>
      <c r="U29" s="552"/>
      <c r="V29" s="550"/>
      <c r="W29" s="551"/>
      <c r="X29" s="551"/>
      <c r="Y29" s="551"/>
      <c r="Z29" s="551"/>
      <c r="AA29" s="552"/>
      <c r="AB29" s="569"/>
      <c r="AC29" s="570"/>
      <c r="AD29" s="570"/>
      <c r="AE29" s="570"/>
      <c r="AF29" s="570"/>
      <c r="AG29" s="571"/>
      <c r="AH29" s="559"/>
      <c r="AI29" s="560"/>
      <c r="AJ29" s="560"/>
      <c r="AK29" s="560"/>
      <c r="AL29" s="560"/>
      <c r="AM29" s="561"/>
      <c r="AN29" s="70"/>
      <c r="AO29" s="613"/>
      <c r="AP29" s="614"/>
      <c r="AQ29" s="614"/>
      <c r="AR29" s="614"/>
      <c r="AS29" s="614"/>
      <c r="AT29" s="615"/>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587"/>
      <c r="C30" s="587"/>
      <c r="D30" s="588"/>
      <c r="E30" s="576" t="s">
        <v>111</v>
      </c>
      <c r="F30" s="577"/>
      <c r="G30" s="577"/>
      <c r="H30" s="577"/>
      <c r="I30" s="577"/>
      <c r="J30" s="544" t="str">
        <f>IF(AND('Mapa final'!$H$10="Baja",'Mapa final'!$L$10="Leve"),CONCATENATE("R",'Mapa final'!$A$10),"")</f>
        <v/>
      </c>
      <c r="K30" s="545"/>
      <c r="L30" s="545" t="str">
        <f>IF(AND('Mapa final'!$H$16="Baja",'Mapa final'!$L$16="Leve"),CONCATENATE("R",'Mapa final'!$A$16),"")</f>
        <v/>
      </c>
      <c r="M30" s="545"/>
      <c r="N30" s="545" t="str">
        <f>IF(AND('Mapa final'!$H$22="Baja",'Mapa final'!$L$22="Leve"),CONCATENATE("R",'Mapa final'!$A$22),"")</f>
        <v/>
      </c>
      <c r="O30" s="546"/>
      <c r="P30" s="554" t="str">
        <f>IF(AND('Mapa final'!$H$10="Baja",'Mapa final'!$L$10="Menor"),CONCATENATE("R",'Mapa final'!$A$10),"")</f>
        <v/>
      </c>
      <c r="Q30" s="554"/>
      <c r="R30" s="554" t="str">
        <f>IF(AND('Mapa final'!$H$16="Baja",'Mapa final'!$L$16="Menor"),CONCATENATE("R",'Mapa final'!$A$16),"")</f>
        <v/>
      </c>
      <c r="S30" s="554"/>
      <c r="T30" s="554" t="str">
        <f>IF(AND('Mapa final'!$H$22="Baja",'Mapa final'!$L$22="Menor"),CONCATENATE("R",'Mapa final'!$A$22),"")</f>
        <v>R3</v>
      </c>
      <c r="U30" s="555"/>
      <c r="V30" s="553" t="str">
        <f>IF(AND('Mapa final'!$H$10="Baja",'Mapa final'!$L$10="Moderado"),CONCATENATE("R",'Mapa final'!$A$10),"")</f>
        <v/>
      </c>
      <c r="W30" s="554"/>
      <c r="X30" s="554" t="str">
        <f>IF(AND('Mapa final'!$H$16="Baja",'Mapa final'!$L$16="Moderado"),CONCATENATE("R",'Mapa final'!$A$16),"")</f>
        <v/>
      </c>
      <c r="Y30" s="554"/>
      <c r="Z30" s="554" t="str">
        <f>IF(AND('Mapa final'!$H$22="Baja",'Mapa final'!$L$22="Moderado"),CONCATENATE("R",'Mapa final'!$A$22),"")</f>
        <v/>
      </c>
      <c r="AA30" s="555"/>
      <c r="AB30" s="572" t="str">
        <f>IF(AND('Mapa final'!$H$10="Baja",'Mapa final'!$L$10="Mayor"),CONCATENATE("R",'Mapa final'!$A$10),"")</f>
        <v/>
      </c>
      <c r="AC30" s="573"/>
      <c r="AD30" s="573" t="str">
        <f>IF(AND('Mapa final'!$H$16="Baja",'Mapa final'!$L$16="Mayor"),CONCATENATE("R",'Mapa final'!$A$16),"")</f>
        <v/>
      </c>
      <c r="AE30" s="573"/>
      <c r="AF30" s="573" t="str">
        <f>IF(AND('Mapa final'!$H$22="Baja",'Mapa final'!$L$22="Mayor"),CONCATENATE("R",'Mapa final'!$A$22),"")</f>
        <v/>
      </c>
      <c r="AG30" s="574"/>
      <c r="AH30" s="562" t="str">
        <f>IF(AND('Mapa final'!$H$10="Baja",'Mapa final'!$L$10="Catastrófico"),CONCATENATE("R",'Mapa final'!$A$10),"")</f>
        <v>R1</v>
      </c>
      <c r="AI30" s="563"/>
      <c r="AJ30" s="563" t="str">
        <f>IF(AND('Mapa final'!$H$16="Baja",'Mapa final'!$L$16="Catastrófico"),CONCATENATE("R",'Mapa final'!$A$16),"")</f>
        <v/>
      </c>
      <c r="AK30" s="563"/>
      <c r="AL30" s="563" t="str">
        <f>IF(AND('Mapa final'!$H$22="Baja",'Mapa final'!$L$22="Catastrófico"),CONCATENATE("R",'Mapa final'!$A$22),"")</f>
        <v/>
      </c>
      <c r="AM30" s="564"/>
      <c r="AN30" s="70"/>
      <c r="AO30" s="616" t="s">
        <v>79</v>
      </c>
      <c r="AP30" s="617"/>
      <c r="AQ30" s="617"/>
      <c r="AR30" s="617"/>
      <c r="AS30" s="617"/>
      <c r="AT30" s="618"/>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35">
      <c r="A31" s="70"/>
      <c r="B31" s="587"/>
      <c r="C31" s="587"/>
      <c r="D31" s="588"/>
      <c r="E31" s="579"/>
      <c r="F31" s="580"/>
      <c r="G31" s="580"/>
      <c r="H31" s="580"/>
      <c r="I31" s="585"/>
      <c r="J31" s="538"/>
      <c r="K31" s="539"/>
      <c r="L31" s="539"/>
      <c r="M31" s="539"/>
      <c r="N31" s="539"/>
      <c r="O31" s="540"/>
      <c r="P31" s="548"/>
      <c r="Q31" s="548"/>
      <c r="R31" s="548"/>
      <c r="S31" s="548"/>
      <c r="T31" s="548"/>
      <c r="U31" s="549"/>
      <c r="V31" s="547"/>
      <c r="W31" s="548"/>
      <c r="X31" s="548"/>
      <c r="Y31" s="548"/>
      <c r="Z31" s="548"/>
      <c r="AA31" s="549"/>
      <c r="AB31" s="565"/>
      <c r="AC31" s="566"/>
      <c r="AD31" s="566"/>
      <c r="AE31" s="566"/>
      <c r="AF31" s="566"/>
      <c r="AG31" s="568"/>
      <c r="AH31" s="556"/>
      <c r="AI31" s="557"/>
      <c r="AJ31" s="557"/>
      <c r="AK31" s="557"/>
      <c r="AL31" s="557"/>
      <c r="AM31" s="558"/>
      <c r="AN31" s="70"/>
      <c r="AO31" s="619"/>
      <c r="AP31" s="620"/>
      <c r="AQ31" s="620"/>
      <c r="AR31" s="620"/>
      <c r="AS31" s="620"/>
      <c r="AT31" s="62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587"/>
      <c r="C32" s="587"/>
      <c r="D32" s="588"/>
      <c r="E32" s="579"/>
      <c r="F32" s="580"/>
      <c r="G32" s="580"/>
      <c r="H32" s="580"/>
      <c r="I32" s="585"/>
      <c r="J32" s="538" t="str">
        <f>IF(AND('Mapa final'!$H$28="Baja",'Mapa final'!$L$28="Leve"),CONCATENATE("R",'Mapa final'!$A$28),"")</f>
        <v/>
      </c>
      <c r="K32" s="539"/>
      <c r="L32" s="539" t="str">
        <f>IF(AND('Mapa final'!$H$34="Baja",'Mapa final'!$L$34="Leve"),CONCATENATE("R",'Mapa final'!$A$34),"")</f>
        <v/>
      </c>
      <c r="M32" s="539"/>
      <c r="N32" s="539" t="str">
        <f>IF(AND('Mapa final'!$H$40="Baja",'Mapa final'!$L$40="Leve"),CONCATENATE("R",'Mapa final'!$A$40),"")</f>
        <v/>
      </c>
      <c r="O32" s="540"/>
      <c r="P32" s="548" t="str">
        <f>IF(AND('Mapa final'!$H$28="Baja",'Mapa final'!$L$28="Menor"),CONCATENATE("R",'Mapa final'!$A$28),"")</f>
        <v/>
      </c>
      <c r="Q32" s="548"/>
      <c r="R32" s="548" t="str">
        <f>IF(AND('Mapa final'!$H$34="Baja",'Mapa final'!$L$34="Menor"),CONCATENATE("R",'Mapa final'!$A$34),"")</f>
        <v/>
      </c>
      <c r="S32" s="548"/>
      <c r="T32" s="548" t="str">
        <f>IF(AND('Mapa final'!$H$40="Baja",'Mapa final'!$L$40="Menor"),CONCATENATE("R",'Mapa final'!$A$40),"")</f>
        <v/>
      </c>
      <c r="U32" s="549"/>
      <c r="V32" s="547" t="str">
        <f>IF(AND('Mapa final'!$H$28="Baja",'Mapa final'!$L$28="Moderado"),CONCATENATE("R",'Mapa final'!$A$28),"")</f>
        <v/>
      </c>
      <c r="W32" s="548"/>
      <c r="X32" s="548" t="str">
        <f>IF(AND('Mapa final'!$H$34="Baja",'Mapa final'!$L$34="Moderado"),CONCATENATE("R",'Mapa final'!$A$34),"")</f>
        <v/>
      </c>
      <c r="Y32" s="548"/>
      <c r="Z32" s="548" t="str">
        <f>IF(AND('Mapa final'!$H$40="Baja",'Mapa final'!$L$40="Moderado"),CONCATENATE("R",'Mapa final'!$A$40),"")</f>
        <v/>
      </c>
      <c r="AA32" s="549"/>
      <c r="AB32" s="565" t="str">
        <f>IF(AND('Mapa final'!$H$28="Baja",'Mapa final'!$L$28="Mayor"),CONCATENATE("R",'Mapa final'!$A$28),"")</f>
        <v/>
      </c>
      <c r="AC32" s="566"/>
      <c r="AD32" s="567" t="str">
        <f>IF(AND('Mapa final'!$H$34="Baja",'Mapa final'!$L$34="Mayor"),CONCATENATE("R",'Mapa final'!$A$34),"")</f>
        <v/>
      </c>
      <c r="AE32" s="567"/>
      <c r="AF32" s="567" t="str">
        <f>IF(AND('Mapa final'!$H$40="Baja",'Mapa final'!$L$40="Mayor"),CONCATENATE("R",'Mapa final'!$A$40),"")</f>
        <v/>
      </c>
      <c r="AG32" s="568"/>
      <c r="AH32" s="556" t="str">
        <f>IF(AND('Mapa final'!$H$28="Baja",'Mapa final'!$L$28="Catastrófico"),CONCATENATE("R",'Mapa final'!$A$28),"")</f>
        <v/>
      </c>
      <c r="AI32" s="557"/>
      <c r="AJ32" s="557" t="str">
        <f>IF(AND('Mapa final'!$H$34="Baja",'Mapa final'!$L$34="Catastrófico"),CONCATENATE("R",'Mapa final'!$A$34),"")</f>
        <v/>
      </c>
      <c r="AK32" s="557"/>
      <c r="AL32" s="557" t="str">
        <f>IF(AND('Mapa final'!$H$40="Baja",'Mapa final'!$L$40="Catastrófico"),CONCATENATE("R",'Mapa final'!$A$40),"")</f>
        <v/>
      </c>
      <c r="AM32" s="558"/>
      <c r="AN32" s="70"/>
      <c r="AO32" s="619"/>
      <c r="AP32" s="620"/>
      <c r="AQ32" s="620"/>
      <c r="AR32" s="620"/>
      <c r="AS32" s="620"/>
      <c r="AT32" s="62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587"/>
      <c r="C33" s="587"/>
      <c r="D33" s="588"/>
      <c r="E33" s="579"/>
      <c r="F33" s="580"/>
      <c r="G33" s="580"/>
      <c r="H33" s="580"/>
      <c r="I33" s="585"/>
      <c r="J33" s="538"/>
      <c r="K33" s="539"/>
      <c r="L33" s="539"/>
      <c r="M33" s="539"/>
      <c r="N33" s="539"/>
      <c r="O33" s="540"/>
      <c r="P33" s="548"/>
      <c r="Q33" s="548"/>
      <c r="R33" s="548"/>
      <c r="S33" s="548"/>
      <c r="T33" s="548"/>
      <c r="U33" s="549"/>
      <c r="V33" s="547"/>
      <c r="W33" s="548"/>
      <c r="X33" s="548"/>
      <c r="Y33" s="548"/>
      <c r="Z33" s="548"/>
      <c r="AA33" s="549"/>
      <c r="AB33" s="565"/>
      <c r="AC33" s="566"/>
      <c r="AD33" s="567"/>
      <c r="AE33" s="567"/>
      <c r="AF33" s="567"/>
      <c r="AG33" s="568"/>
      <c r="AH33" s="556"/>
      <c r="AI33" s="557"/>
      <c r="AJ33" s="557"/>
      <c r="AK33" s="557"/>
      <c r="AL33" s="557"/>
      <c r="AM33" s="558"/>
      <c r="AN33" s="70"/>
      <c r="AO33" s="619"/>
      <c r="AP33" s="620"/>
      <c r="AQ33" s="620"/>
      <c r="AR33" s="620"/>
      <c r="AS33" s="620"/>
      <c r="AT33" s="62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587"/>
      <c r="C34" s="587"/>
      <c r="D34" s="588"/>
      <c r="E34" s="579"/>
      <c r="F34" s="580"/>
      <c r="G34" s="580"/>
      <c r="H34" s="580"/>
      <c r="I34" s="585"/>
      <c r="J34" s="538" t="str">
        <f>IF(AND('Mapa final'!$H$46="Baja",'Mapa final'!$L$46="Leve"),CONCATENATE("R",'Mapa final'!$A$46),"")</f>
        <v/>
      </c>
      <c r="K34" s="539"/>
      <c r="L34" s="539" t="str">
        <f>IF(AND('Mapa final'!$H$52="Baja",'Mapa final'!$L$52="Leve"),CONCATENATE("R",'Mapa final'!$A$52),"")</f>
        <v/>
      </c>
      <c r="M34" s="539"/>
      <c r="N34" s="539" t="str">
        <f>IF(AND('Mapa final'!$H$58="Baja",'Mapa final'!$L$58="Leve"),CONCATENATE("R",'Mapa final'!$A$58),"")</f>
        <v/>
      </c>
      <c r="O34" s="540"/>
      <c r="P34" s="548" t="str">
        <f>IF(AND('Mapa final'!$H$46="Baja",'Mapa final'!$L$46="Menor"),CONCATENATE("R",'Mapa final'!$A$46),"")</f>
        <v/>
      </c>
      <c r="Q34" s="548"/>
      <c r="R34" s="548" t="str">
        <f>IF(AND('Mapa final'!$H$52="Baja",'Mapa final'!$L$52="Menor"),CONCATENATE("R",'Mapa final'!$A$52),"")</f>
        <v/>
      </c>
      <c r="S34" s="548"/>
      <c r="T34" s="548" t="str">
        <f>IF(AND('Mapa final'!$H$58="Baja",'Mapa final'!$L$58="Menor"),CONCATENATE("R",'Mapa final'!$A$58),"")</f>
        <v/>
      </c>
      <c r="U34" s="549"/>
      <c r="V34" s="547" t="str">
        <f>IF(AND('Mapa final'!$H$46="Baja",'Mapa final'!$L$46="Moderado"),CONCATENATE("R",'Mapa final'!$A$46),"")</f>
        <v/>
      </c>
      <c r="W34" s="548"/>
      <c r="X34" s="548" t="str">
        <f>IF(AND('Mapa final'!$H$52="Baja",'Mapa final'!$L$52="Moderado"),CONCATENATE("R",'Mapa final'!$A$52),"")</f>
        <v/>
      </c>
      <c r="Y34" s="548"/>
      <c r="Z34" s="548" t="str">
        <f>IF(AND('Mapa final'!$H$58="Baja",'Mapa final'!$L$58="Moderado"),CONCATENATE("R",'Mapa final'!$A$58),"")</f>
        <v/>
      </c>
      <c r="AA34" s="549"/>
      <c r="AB34" s="565" t="str">
        <f>IF(AND('Mapa final'!$H$46="Baja",'Mapa final'!$L$46="Mayor"),CONCATENATE("R",'Mapa final'!$A$46),"")</f>
        <v/>
      </c>
      <c r="AC34" s="566"/>
      <c r="AD34" s="567" t="str">
        <f>IF(AND('Mapa final'!$H$52="Baja",'Mapa final'!$L$52="Mayor"),CONCATENATE("R",'Mapa final'!$A$52),"")</f>
        <v/>
      </c>
      <c r="AE34" s="567"/>
      <c r="AF34" s="567" t="str">
        <f>IF(AND('Mapa final'!$H$58="Baja",'Mapa final'!$L$58="Mayor"),CONCATENATE("R",'Mapa final'!$A$58),"")</f>
        <v/>
      </c>
      <c r="AG34" s="568"/>
      <c r="AH34" s="556" t="str">
        <f>IF(AND('Mapa final'!$H$46="Baja",'Mapa final'!$L$46="Catastrófico"),CONCATENATE("R",'Mapa final'!$A$46),"")</f>
        <v/>
      </c>
      <c r="AI34" s="557"/>
      <c r="AJ34" s="557" t="str">
        <f>IF(AND('Mapa final'!$H$52="Baja",'Mapa final'!$L$52="Catastrófico"),CONCATENATE("R",'Mapa final'!$A$52),"")</f>
        <v/>
      </c>
      <c r="AK34" s="557"/>
      <c r="AL34" s="557" t="str">
        <f>IF(AND('Mapa final'!$H$58="Baja",'Mapa final'!$L$58="Catastrófico"),CONCATENATE("R",'Mapa final'!$A$58),"")</f>
        <v/>
      </c>
      <c r="AM34" s="558"/>
      <c r="AN34" s="70"/>
      <c r="AO34" s="619"/>
      <c r="AP34" s="620"/>
      <c r="AQ34" s="620"/>
      <c r="AR34" s="620"/>
      <c r="AS34" s="620"/>
      <c r="AT34" s="62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587"/>
      <c r="C35" s="587"/>
      <c r="D35" s="588"/>
      <c r="E35" s="579"/>
      <c r="F35" s="580"/>
      <c r="G35" s="580"/>
      <c r="H35" s="580"/>
      <c r="I35" s="585"/>
      <c r="J35" s="538"/>
      <c r="K35" s="539"/>
      <c r="L35" s="539"/>
      <c r="M35" s="539"/>
      <c r="N35" s="539"/>
      <c r="O35" s="540"/>
      <c r="P35" s="548"/>
      <c r="Q35" s="548"/>
      <c r="R35" s="548"/>
      <c r="S35" s="548"/>
      <c r="T35" s="548"/>
      <c r="U35" s="549"/>
      <c r="V35" s="547"/>
      <c r="W35" s="548"/>
      <c r="X35" s="548"/>
      <c r="Y35" s="548"/>
      <c r="Z35" s="548"/>
      <c r="AA35" s="549"/>
      <c r="AB35" s="565"/>
      <c r="AC35" s="566"/>
      <c r="AD35" s="567"/>
      <c r="AE35" s="567"/>
      <c r="AF35" s="567"/>
      <c r="AG35" s="568"/>
      <c r="AH35" s="556"/>
      <c r="AI35" s="557"/>
      <c r="AJ35" s="557"/>
      <c r="AK35" s="557"/>
      <c r="AL35" s="557"/>
      <c r="AM35" s="558"/>
      <c r="AN35" s="70"/>
      <c r="AO35" s="619"/>
      <c r="AP35" s="620"/>
      <c r="AQ35" s="620"/>
      <c r="AR35" s="620"/>
      <c r="AS35" s="620"/>
      <c r="AT35" s="621"/>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587"/>
      <c r="C36" s="587"/>
      <c r="D36" s="588"/>
      <c r="E36" s="579"/>
      <c r="F36" s="580"/>
      <c r="G36" s="580"/>
      <c r="H36" s="580"/>
      <c r="I36" s="585"/>
      <c r="J36" s="538" t="str">
        <f>IF(AND('Mapa final'!$H$64="Baja",'Mapa final'!$L$64="Leve"),CONCATENATE("R",'Mapa final'!$A$64),"")</f>
        <v/>
      </c>
      <c r="K36" s="539"/>
      <c r="L36" s="539" t="str">
        <f>IF(AND('Mapa final'!$H$70="Baja",'Mapa final'!$L$70="Leve"),CONCATENATE("R",'Mapa final'!$A$70),"")</f>
        <v/>
      </c>
      <c r="M36" s="539"/>
      <c r="N36" s="539" t="str">
        <f>IF(AND('Mapa final'!$H$76="Baja",'Mapa final'!$L$76="Leve"),CONCATENATE("R",'Mapa final'!$A$76),"")</f>
        <v/>
      </c>
      <c r="O36" s="540"/>
      <c r="P36" s="548" t="str">
        <f>IF(AND('Mapa final'!$H$64="Baja",'Mapa final'!$L$64="Menor"),CONCATENATE("R",'Mapa final'!$A$64),"")</f>
        <v/>
      </c>
      <c r="Q36" s="548"/>
      <c r="R36" s="548" t="str">
        <f>IF(AND('Mapa final'!$H$70="Baja",'Mapa final'!$L$70="Menor"),CONCATENATE("R",'Mapa final'!$A$70),"")</f>
        <v/>
      </c>
      <c r="S36" s="548"/>
      <c r="T36" s="548" t="str">
        <f>IF(AND('Mapa final'!$H$76="Baja",'Mapa final'!$L$76="Menor"),CONCATENATE("R",'Mapa final'!$A$76),"")</f>
        <v/>
      </c>
      <c r="U36" s="549"/>
      <c r="V36" s="547" t="str">
        <f>IF(AND('Mapa final'!$H$64="Baja",'Mapa final'!$L$64="Moderado"),CONCATENATE("R",'Mapa final'!$A$64),"")</f>
        <v/>
      </c>
      <c r="W36" s="548"/>
      <c r="X36" s="548" t="str">
        <f>IF(AND('Mapa final'!$H$70="Baja",'Mapa final'!$L$70="Moderado"),CONCATENATE("R",'Mapa final'!$A$70),"")</f>
        <v/>
      </c>
      <c r="Y36" s="548"/>
      <c r="Z36" s="548" t="str">
        <f>IF(AND('Mapa final'!$H$76="Baja",'Mapa final'!$L$76="Moderado"),CONCATENATE("R",'Mapa final'!$A$76),"")</f>
        <v/>
      </c>
      <c r="AA36" s="549"/>
      <c r="AB36" s="565" t="str">
        <f>IF(AND('Mapa final'!$H$64="Baja",'Mapa final'!$L$64="Mayor"),CONCATENATE("R",'Mapa final'!$A$64),"")</f>
        <v/>
      </c>
      <c r="AC36" s="566"/>
      <c r="AD36" s="567" t="str">
        <f>IF(AND('Mapa final'!$H$70="Baja",'Mapa final'!$L$70="Mayor"),CONCATENATE("R",'Mapa final'!$A$70),"")</f>
        <v/>
      </c>
      <c r="AE36" s="567"/>
      <c r="AF36" s="567" t="str">
        <f>IF(AND('Mapa final'!$H$76="Baja",'Mapa final'!$L$76="Mayor"),CONCATENATE("R",'Mapa final'!$A$76),"")</f>
        <v/>
      </c>
      <c r="AG36" s="568"/>
      <c r="AH36" s="556" t="str">
        <f>IF(AND('Mapa final'!$H$64="Baja",'Mapa final'!$L$64="Catastrófico"),CONCATENATE("R",'Mapa final'!$A$64),"")</f>
        <v/>
      </c>
      <c r="AI36" s="557"/>
      <c r="AJ36" s="557" t="str">
        <f>IF(AND('Mapa final'!$H$70="Baja",'Mapa final'!$L$70="Catastrófico"),CONCATENATE("R",'Mapa final'!$A$70),"")</f>
        <v/>
      </c>
      <c r="AK36" s="557"/>
      <c r="AL36" s="557" t="str">
        <f>IF(AND('Mapa final'!$H$76="Baja",'Mapa final'!$L$76="Catastrófico"),CONCATENATE("R",'Mapa final'!$A$76),"")</f>
        <v/>
      </c>
      <c r="AM36" s="558"/>
      <c r="AN36" s="70"/>
      <c r="AO36" s="619"/>
      <c r="AP36" s="620"/>
      <c r="AQ36" s="620"/>
      <c r="AR36" s="620"/>
      <c r="AS36" s="620"/>
      <c r="AT36" s="62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587"/>
      <c r="C37" s="587"/>
      <c r="D37" s="588"/>
      <c r="E37" s="582"/>
      <c r="F37" s="583"/>
      <c r="G37" s="583"/>
      <c r="H37" s="583"/>
      <c r="I37" s="583"/>
      <c r="J37" s="541"/>
      <c r="K37" s="542"/>
      <c r="L37" s="542"/>
      <c r="M37" s="542"/>
      <c r="N37" s="542"/>
      <c r="O37" s="543"/>
      <c r="P37" s="551"/>
      <c r="Q37" s="551"/>
      <c r="R37" s="551"/>
      <c r="S37" s="551"/>
      <c r="T37" s="551"/>
      <c r="U37" s="552"/>
      <c r="V37" s="550"/>
      <c r="W37" s="551"/>
      <c r="X37" s="551"/>
      <c r="Y37" s="551"/>
      <c r="Z37" s="551"/>
      <c r="AA37" s="552"/>
      <c r="AB37" s="569"/>
      <c r="AC37" s="570"/>
      <c r="AD37" s="570"/>
      <c r="AE37" s="570"/>
      <c r="AF37" s="570"/>
      <c r="AG37" s="571"/>
      <c r="AH37" s="559"/>
      <c r="AI37" s="560"/>
      <c r="AJ37" s="560"/>
      <c r="AK37" s="560"/>
      <c r="AL37" s="560"/>
      <c r="AM37" s="561"/>
      <c r="AN37" s="70"/>
      <c r="AO37" s="622"/>
      <c r="AP37" s="623"/>
      <c r="AQ37" s="623"/>
      <c r="AR37" s="623"/>
      <c r="AS37" s="623"/>
      <c r="AT37" s="62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587"/>
      <c r="C38" s="587"/>
      <c r="D38" s="588"/>
      <c r="E38" s="576" t="s">
        <v>110</v>
      </c>
      <c r="F38" s="577"/>
      <c r="G38" s="577"/>
      <c r="H38" s="577"/>
      <c r="I38" s="578"/>
      <c r="J38" s="544" t="str">
        <f>IF(AND('Mapa final'!$H$10="Muy Baja",'Mapa final'!$L$10="Leve"),CONCATENATE("R",'Mapa final'!$A$10),"")</f>
        <v/>
      </c>
      <c r="K38" s="545"/>
      <c r="L38" s="545" t="str">
        <f>IF(AND('Mapa final'!$H$16="Muy Baja",'Mapa final'!$L$16="Leve"),CONCATENATE("R",'Mapa final'!$A$16),"")</f>
        <v/>
      </c>
      <c r="M38" s="545"/>
      <c r="N38" s="545" t="str">
        <f>IF(AND('Mapa final'!$H$22="Muy Baja",'Mapa final'!$L$22="Leve"),CONCATENATE("R",'Mapa final'!$A$22),"")</f>
        <v/>
      </c>
      <c r="O38" s="546"/>
      <c r="P38" s="544" t="str">
        <f>IF(AND('Mapa final'!$H$10="Muy Baja",'Mapa final'!$L$10="Menor"),CONCATENATE("R",'Mapa final'!$A$10),"")</f>
        <v/>
      </c>
      <c r="Q38" s="545"/>
      <c r="R38" s="545" t="str">
        <f>IF(AND('Mapa final'!$H$16="Muy Baja",'Mapa final'!$L$16="Menor"),CONCATENATE("R",'Mapa final'!$A$16),"")</f>
        <v/>
      </c>
      <c r="S38" s="545"/>
      <c r="T38" s="545" t="str">
        <f>IF(AND('Mapa final'!$H$22="Muy Baja",'Mapa final'!$L$22="Menor"),CONCATENATE("R",'Mapa final'!$A$22),"")</f>
        <v/>
      </c>
      <c r="U38" s="546"/>
      <c r="V38" s="553" t="str">
        <f>IF(AND('Mapa final'!$H$10="Muy Baja",'Mapa final'!$L$10="Moderado"),CONCATENATE("R",'Mapa final'!$A$10),"")</f>
        <v/>
      </c>
      <c r="W38" s="554"/>
      <c r="X38" s="554" t="str">
        <f>IF(AND('Mapa final'!$H$16="Muy Baja",'Mapa final'!$L$16="Moderado"),CONCATENATE("R",'Mapa final'!$A$16),"")</f>
        <v/>
      </c>
      <c r="Y38" s="554"/>
      <c r="Z38" s="554" t="str">
        <f>IF(AND('Mapa final'!$H$22="Muy Baja",'Mapa final'!$L$22="Moderado"),CONCATENATE("R",'Mapa final'!$A$22),"")</f>
        <v/>
      </c>
      <c r="AA38" s="555"/>
      <c r="AB38" s="572" t="str">
        <f>IF(AND('Mapa final'!$H$10="Muy Baja",'Mapa final'!$L$10="Mayor"),CONCATENATE("R",'Mapa final'!$A$10),"")</f>
        <v/>
      </c>
      <c r="AC38" s="573"/>
      <c r="AD38" s="573" t="str">
        <f>IF(AND('Mapa final'!$H$16="Muy Baja",'Mapa final'!$L$16="Mayor"),CONCATENATE("R",'Mapa final'!$A$16),"")</f>
        <v/>
      </c>
      <c r="AE38" s="573"/>
      <c r="AF38" s="573" t="str">
        <f>IF(AND('Mapa final'!$H$22="Muy Baja",'Mapa final'!$L$22="Mayor"),CONCATENATE("R",'Mapa final'!$A$22),"")</f>
        <v/>
      </c>
      <c r="AG38" s="574"/>
      <c r="AH38" s="562" t="str">
        <f>IF(AND('Mapa final'!$H$10="Muy Baja",'Mapa final'!$L$10="Catastrófico"),CONCATENATE("R",'Mapa final'!$A$10),"")</f>
        <v/>
      </c>
      <c r="AI38" s="563"/>
      <c r="AJ38" s="563" t="str">
        <f>IF(AND('Mapa final'!$H$16="Muy Baja",'Mapa final'!$L$16="Catastrófico"),CONCATENATE("R",'Mapa final'!$A$16),"")</f>
        <v/>
      </c>
      <c r="AK38" s="563"/>
      <c r="AL38" s="563" t="str">
        <f>IF(AND('Mapa final'!$H$22="Muy Baja",'Mapa final'!$L$22="Catastrófico"),CONCATENATE("R",'Mapa final'!$A$22),"")</f>
        <v/>
      </c>
      <c r="AM38" s="564"/>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587"/>
      <c r="C39" s="587"/>
      <c r="D39" s="588"/>
      <c r="E39" s="579"/>
      <c r="F39" s="580"/>
      <c r="G39" s="580"/>
      <c r="H39" s="580"/>
      <c r="I39" s="581"/>
      <c r="J39" s="538"/>
      <c r="K39" s="539"/>
      <c r="L39" s="539"/>
      <c r="M39" s="539"/>
      <c r="N39" s="539"/>
      <c r="O39" s="540"/>
      <c r="P39" s="538"/>
      <c r="Q39" s="539"/>
      <c r="R39" s="539"/>
      <c r="S39" s="539"/>
      <c r="T39" s="539"/>
      <c r="U39" s="540"/>
      <c r="V39" s="547"/>
      <c r="W39" s="548"/>
      <c r="X39" s="548"/>
      <c r="Y39" s="548"/>
      <c r="Z39" s="548"/>
      <c r="AA39" s="549"/>
      <c r="AB39" s="565"/>
      <c r="AC39" s="566"/>
      <c r="AD39" s="566"/>
      <c r="AE39" s="566"/>
      <c r="AF39" s="566"/>
      <c r="AG39" s="568"/>
      <c r="AH39" s="556"/>
      <c r="AI39" s="557"/>
      <c r="AJ39" s="557"/>
      <c r="AK39" s="557"/>
      <c r="AL39" s="557"/>
      <c r="AM39" s="558"/>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587"/>
      <c r="C40" s="587"/>
      <c r="D40" s="588"/>
      <c r="E40" s="579"/>
      <c r="F40" s="580"/>
      <c r="G40" s="580"/>
      <c r="H40" s="580"/>
      <c r="I40" s="581"/>
      <c r="J40" s="538" t="str">
        <f>IF(AND('Mapa final'!$H$28="Muy Baja",'Mapa final'!$L$28="Leve"),CONCATENATE("R",'Mapa final'!$A$28),"")</f>
        <v/>
      </c>
      <c r="K40" s="539"/>
      <c r="L40" s="539" t="str">
        <f>IF(AND('Mapa final'!$H$34="Muy Baja",'Mapa final'!$L$34="Leve"),CONCATENATE("R",'Mapa final'!$A$34),"")</f>
        <v/>
      </c>
      <c r="M40" s="539"/>
      <c r="N40" s="539" t="str">
        <f>IF(AND('Mapa final'!$H$40="Muy Baja",'Mapa final'!$L$40="Leve"),CONCATENATE("R",'Mapa final'!$A$40),"")</f>
        <v/>
      </c>
      <c r="O40" s="540"/>
      <c r="P40" s="538" t="str">
        <f>IF(AND('Mapa final'!$H$28="Muy Baja",'Mapa final'!$L$28="Menor"),CONCATENATE("R",'Mapa final'!$A$28),"")</f>
        <v/>
      </c>
      <c r="Q40" s="539"/>
      <c r="R40" s="539" t="str">
        <f>IF(AND('Mapa final'!$H$34="Muy Baja",'Mapa final'!$L$34="Menor"),CONCATENATE("R",'Mapa final'!$A$34),"")</f>
        <v/>
      </c>
      <c r="S40" s="539"/>
      <c r="T40" s="539" t="str">
        <f>IF(AND('Mapa final'!$H$40="Muy Baja",'Mapa final'!$L$40="Menor"),CONCATENATE("R",'Mapa final'!$A$40),"")</f>
        <v/>
      </c>
      <c r="U40" s="540"/>
      <c r="V40" s="547" t="str">
        <f>IF(AND('Mapa final'!$H$28="Muy Baja",'Mapa final'!$L$28="Moderado"),CONCATENATE("R",'Mapa final'!$A$28),"")</f>
        <v/>
      </c>
      <c r="W40" s="548"/>
      <c r="X40" s="548" t="str">
        <f>IF(AND('Mapa final'!$H$34="Muy Baja",'Mapa final'!$L$34="Moderado"),CONCATENATE("R",'Mapa final'!$A$34),"")</f>
        <v/>
      </c>
      <c r="Y40" s="548"/>
      <c r="Z40" s="548" t="str">
        <f>IF(AND('Mapa final'!$H$40="Muy Baja",'Mapa final'!$L$40="Moderado"),CONCATENATE("R",'Mapa final'!$A$40),"")</f>
        <v/>
      </c>
      <c r="AA40" s="549"/>
      <c r="AB40" s="565" t="str">
        <f>IF(AND('Mapa final'!$H$28="Muy Baja",'Mapa final'!$L$28="Mayor"),CONCATENATE("R",'Mapa final'!$A$28),"")</f>
        <v/>
      </c>
      <c r="AC40" s="566"/>
      <c r="AD40" s="567" t="str">
        <f>IF(AND('Mapa final'!$H$34="Muy Baja",'Mapa final'!$L$34="Mayor"),CONCATENATE("R",'Mapa final'!$A$34),"")</f>
        <v/>
      </c>
      <c r="AE40" s="567"/>
      <c r="AF40" s="567" t="str">
        <f>IF(AND('Mapa final'!$H$40="Muy Baja",'Mapa final'!$L$40="Mayor"),CONCATENATE("R",'Mapa final'!$A$40),"")</f>
        <v/>
      </c>
      <c r="AG40" s="568"/>
      <c r="AH40" s="556" t="str">
        <f>IF(AND('Mapa final'!$H$28="Muy Baja",'Mapa final'!$L$28="Catastrófico"),CONCATENATE("R",'Mapa final'!$A$28),"")</f>
        <v/>
      </c>
      <c r="AI40" s="557"/>
      <c r="AJ40" s="557" t="str">
        <f>IF(AND('Mapa final'!$H$34="Muy Baja",'Mapa final'!$L$34="Catastrófico"),CONCATENATE("R",'Mapa final'!$A$34),"")</f>
        <v/>
      </c>
      <c r="AK40" s="557"/>
      <c r="AL40" s="557" t="str">
        <f>IF(AND('Mapa final'!$H$40="Muy Baja",'Mapa final'!$L$40="Catastrófico"),CONCATENATE("R",'Mapa final'!$A$40),"")</f>
        <v/>
      </c>
      <c r="AM40" s="558"/>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587"/>
      <c r="C41" s="587"/>
      <c r="D41" s="588"/>
      <c r="E41" s="579"/>
      <c r="F41" s="580"/>
      <c r="G41" s="580"/>
      <c r="H41" s="580"/>
      <c r="I41" s="581"/>
      <c r="J41" s="538"/>
      <c r="K41" s="539"/>
      <c r="L41" s="539"/>
      <c r="M41" s="539"/>
      <c r="N41" s="539"/>
      <c r="O41" s="540"/>
      <c r="P41" s="538"/>
      <c r="Q41" s="539"/>
      <c r="R41" s="539"/>
      <c r="S41" s="539"/>
      <c r="T41" s="539"/>
      <c r="U41" s="540"/>
      <c r="V41" s="547"/>
      <c r="W41" s="548"/>
      <c r="X41" s="548"/>
      <c r="Y41" s="548"/>
      <c r="Z41" s="548"/>
      <c r="AA41" s="549"/>
      <c r="AB41" s="565"/>
      <c r="AC41" s="566"/>
      <c r="AD41" s="567"/>
      <c r="AE41" s="567"/>
      <c r="AF41" s="567"/>
      <c r="AG41" s="568"/>
      <c r="AH41" s="556"/>
      <c r="AI41" s="557"/>
      <c r="AJ41" s="557"/>
      <c r="AK41" s="557"/>
      <c r="AL41" s="557"/>
      <c r="AM41" s="558"/>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587"/>
      <c r="C42" s="587"/>
      <c r="D42" s="588"/>
      <c r="E42" s="579"/>
      <c r="F42" s="580"/>
      <c r="G42" s="580"/>
      <c r="H42" s="580"/>
      <c r="I42" s="581"/>
      <c r="J42" s="538" t="str">
        <f>IF(AND('Mapa final'!$H$46="Muy Baja",'Mapa final'!$L$46="Leve"),CONCATENATE("R",'Mapa final'!$A$46),"")</f>
        <v/>
      </c>
      <c r="K42" s="539"/>
      <c r="L42" s="539" t="str">
        <f>IF(AND('Mapa final'!$H$52="Muy Baja",'Mapa final'!$L$52="Leve"),CONCATENATE("R",'Mapa final'!$A$52),"")</f>
        <v/>
      </c>
      <c r="M42" s="539"/>
      <c r="N42" s="539" t="str">
        <f>IF(AND('Mapa final'!$H$58="Muy Baja",'Mapa final'!$L$58="Leve"),CONCATENATE("R",'Mapa final'!$A$58),"")</f>
        <v/>
      </c>
      <c r="O42" s="540"/>
      <c r="P42" s="538" t="str">
        <f>IF(AND('Mapa final'!$H$46="Muy Baja",'Mapa final'!$L$46="Menor"),CONCATENATE("R",'Mapa final'!$A$46),"")</f>
        <v/>
      </c>
      <c r="Q42" s="539"/>
      <c r="R42" s="539" t="str">
        <f>IF(AND('Mapa final'!$H$52="Muy Baja",'Mapa final'!$L$52="Menor"),CONCATENATE("R",'Mapa final'!$A$52),"")</f>
        <v/>
      </c>
      <c r="S42" s="539"/>
      <c r="T42" s="539" t="str">
        <f>IF(AND('Mapa final'!$H$58="Muy Baja",'Mapa final'!$L$58="Menor"),CONCATENATE("R",'Mapa final'!$A$58),"")</f>
        <v/>
      </c>
      <c r="U42" s="540"/>
      <c r="V42" s="547" t="str">
        <f>IF(AND('Mapa final'!$H$46="Muy Baja",'Mapa final'!$L$46="Moderado"),CONCATENATE("R",'Mapa final'!$A$46),"")</f>
        <v/>
      </c>
      <c r="W42" s="548"/>
      <c r="X42" s="548" t="str">
        <f>IF(AND('Mapa final'!$H$52="Muy Baja",'Mapa final'!$L$52="Moderado"),CONCATENATE("R",'Mapa final'!$A$52),"")</f>
        <v/>
      </c>
      <c r="Y42" s="548"/>
      <c r="Z42" s="548" t="str">
        <f>IF(AND('Mapa final'!$H$58="Muy Baja",'Mapa final'!$L$58="Moderado"),CONCATENATE("R",'Mapa final'!$A$58),"")</f>
        <v/>
      </c>
      <c r="AA42" s="549"/>
      <c r="AB42" s="565" t="str">
        <f>IF(AND('Mapa final'!$H$46="Muy Baja",'Mapa final'!$L$46="Mayor"),CONCATENATE("R",'Mapa final'!$A$46),"")</f>
        <v/>
      </c>
      <c r="AC42" s="566"/>
      <c r="AD42" s="567" t="str">
        <f>IF(AND('Mapa final'!$H$52="Muy Baja",'Mapa final'!$L$52="Mayor"),CONCATENATE("R",'Mapa final'!$A$52),"")</f>
        <v/>
      </c>
      <c r="AE42" s="567"/>
      <c r="AF42" s="567" t="str">
        <f>IF(AND('Mapa final'!$H$58="Muy Baja",'Mapa final'!$L$58="Mayor"),CONCATENATE("R",'Mapa final'!$A$58),"")</f>
        <v/>
      </c>
      <c r="AG42" s="568"/>
      <c r="AH42" s="556" t="str">
        <f>IF(AND('Mapa final'!$H$46="Muy Baja",'Mapa final'!$L$46="Catastrófico"),CONCATENATE("R",'Mapa final'!$A$46),"")</f>
        <v/>
      </c>
      <c r="AI42" s="557"/>
      <c r="AJ42" s="557" t="str">
        <f>IF(AND('Mapa final'!$H$52="Muy Baja",'Mapa final'!$L$52="Catastrófico"),CONCATENATE("R",'Mapa final'!$A$52),"")</f>
        <v/>
      </c>
      <c r="AK42" s="557"/>
      <c r="AL42" s="557" t="str">
        <f>IF(AND('Mapa final'!$H$58="Muy Baja",'Mapa final'!$L$58="Catastrófico"),CONCATENATE("R",'Mapa final'!$A$58),"")</f>
        <v/>
      </c>
      <c r="AM42" s="558"/>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587"/>
      <c r="C43" s="587"/>
      <c r="D43" s="588"/>
      <c r="E43" s="579"/>
      <c r="F43" s="580"/>
      <c r="G43" s="580"/>
      <c r="H43" s="580"/>
      <c r="I43" s="581"/>
      <c r="J43" s="538"/>
      <c r="K43" s="539"/>
      <c r="L43" s="539"/>
      <c r="M43" s="539"/>
      <c r="N43" s="539"/>
      <c r="O43" s="540"/>
      <c r="P43" s="538"/>
      <c r="Q43" s="539"/>
      <c r="R43" s="539"/>
      <c r="S43" s="539"/>
      <c r="T43" s="539"/>
      <c r="U43" s="540"/>
      <c r="V43" s="547"/>
      <c r="W43" s="548"/>
      <c r="X43" s="548"/>
      <c r="Y43" s="548"/>
      <c r="Z43" s="548"/>
      <c r="AA43" s="549"/>
      <c r="AB43" s="565"/>
      <c r="AC43" s="566"/>
      <c r="AD43" s="567"/>
      <c r="AE43" s="567"/>
      <c r="AF43" s="567"/>
      <c r="AG43" s="568"/>
      <c r="AH43" s="556"/>
      <c r="AI43" s="557"/>
      <c r="AJ43" s="557"/>
      <c r="AK43" s="557"/>
      <c r="AL43" s="557"/>
      <c r="AM43" s="558"/>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587"/>
      <c r="C44" s="587"/>
      <c r="D44" s="588"/>
      <c r="E44" s="579"/>
      <c r="F44" s="580"/>
      <c r="G44" s="580"/>
      <c r="H44" s="580"/>
      <c r="I44" s="581"/>
      <c r="J44" s="538" t="str">
        <f>IF(AND('Mapa final'!$H$64="Muy Baja",'Mapa final'!$L$64="Leve"),CONCATENATE("R",'Mapa final'!$A$64),"")</f>
        <v/>
      </c>
      <c r="K44" s="539"/>
      <c r="L44" s="539" t="str">
        <f>IF(AND('Mapa final'!$H$70="Muy Baja",'Mapa final'!$L$70="Leve"),CONCATENATE("R",'Mapa final'!$A$70),"")</f>
        <v/>
      </c>
      <c r="M44" s="539"/>
      <c r="N44" s="539" t="str">
        <f>IF(AND('Mapa final'!$H$76="Muy Baja",'Mapa final'!$L$76="Leve"),CONCATENATE("R",'Mapa final'!$A$76),"")</f>
        <v/>
      </c>
      <c r="O44" s="540"/>
      <c r="P44" s="538" t="str">
        <f>IF(AND('Mapa final'!$H$64="Muy Baja",'Mapa final'!$L$64="Menor"),CONCATENATE("R",'Mapa final'!$A$64),"")</f>
        <v/>
      </c>
      <c r="Q44" s="539"/>
      <c r="R44" s="539" t="str">
        <f>IF(AND('Mapa final'!$H$70="Muy Baja",'Mapa final'!$L$70="Menor"),CONCATENATE("R",'Mapa final'!$A$70),"")</f>
        <v/>
      </c>
      <c r="S44" s="539"/>
      <c r="T44" s="539" t="str">
        <f>IF(AND('Mapa final'!$H$76="Muy Baja",'Mapa final'!$L$76="Menor"),CONCATENATE("R",'Mapa final'!$A$76),"")</f>
        <v/>
      </c>
      <c r="U44" s="540"/>
      <c r="V44" s="547" t="str">
        <f>IF(AND('Mapa final'!$H$64="Muy Baja",'Mapa final'!$L$64="Moderado"),CONCATENATE("R",'Mapa final'!$A$64),"")</f>
        <v/>
      </c>
      <c r="W44" s="548"/>
      <c r="X44" s="548" t="str">
        <f>IF(AND('Mapa final'!$H$70="Muy Baja",'Mapa final'!$L$70="Moderado"),CONCATENATE("R",'Mapa final'!$A$70),"")</f>
        <v/>
      </c>
      <c r="Y44" s="548"/>
      <c r="Z44" s="548" t="str">
        <f>IF(AND('Mapa final'!$H$76="Muy Baja",'Mapa final'!$L$76="Moderado"),CONCATENATE("R",'Mapa final'!$A$76),"")</f>
        <v/>
      </c>
      <c r="AA44" s="549"/>
      <c r="AB44" s="565" t="str">
        <f>IF(AND('Mapa final'!$H$64="Muy Baja",'Mapa final'!$L$64="Mayor"),CONCATENATE("R",'Mapa final'!$A$64),"")</f>
        <v/>
      </c>
      <c r="AC44" s="566"/>
      <c r="AD44" s="567" t="str">
        <f>IF(AND('Mapa final'!$H$70="Muy Baja",'Mapa final'!$L$70="Mayor"),CONCATENATE("R",'Mapa final'!$A$70),"")</f>
        <v/>
      </c>
      <c r="AE44" s="567"/>
      <c r="AF44" s="567" t="str">
        <f>IF(AND('Mapa final'!$H$76="Muy Baja",'Mapa final'!$L$76="Mayor"),CONCATENATE("R",'Mapa final'!$A$76),"")</f>
        <v/>
      </c>
      <c r="AG44" s="568"/>
      <c r="AH44" s="556" t="str">
        <f>IF(AND('Mapa final'!$H$64="Muy Baja",'Mapa final'!$L$64="Catastrófico"),CONCATENATE("R",'Mapa final'!$A$64),"")</f>
        <v/>
      </c>
      <c r="AI44" s="557"/>
      <c r="AJ44" s="557" t="str">
        <f>IF(AND('Mapa final'!$H$70="Muy Baja",'Mapa final'!$L$70="Catastrófico"),CONCATENATE("R",'Mapa final'!$A$70),"")</f>
        <v/>
      </c>
      <c r="AK44" s="557"/>
      <c r="AL44" s="557" t="str">
        <f>IF(AND('Mapa final'!$H$76="Muy Baja",'Mapa final'!$L$76="Catastrófico"),CONCATENATE("R",'Mapa final'!$A$76),"")</f>
        <v/>
      </c>
      <c r="AM44" s="558"/>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587"/>
      <c r="C45" s="587"/>
      <c r="D45" s="588"/>
      <c r="E45" s="582"/>
      <c r="F45" s="583"/>
      <c r="G45" s="583"/>
      <c r="H45" s="583"/>
      <c r="I45" s="584"/>
      <c r="J45" s="541"/>
      <c r="K45" s="542"/>
      <c r="L45" s="542"/>
      <c r="M45" s="542"/>
      <c r="N45" s="542"/>
      <c r="O45" s="543"/>
      <c r="P45" s="541"/>
      <c r="Q45" s="542"/>
      <c r="R45" s="542"/>
      <c r="S45" s="542"/>
      <c r="T45" s="542"/>
      <c r="U45" s="543"/>
      <c r="V45" s="550"/>
      <c r="W45" s="551"/>
      <c r="X45" s="551"/>
      <c r="Y45" s="551"/>
      <c r="Z45" s="551"/>
      <c r="AA45" s="552"/>
      <c r="AB45" s="569"/>
      <c r="AC45" s="570"/>
      <c r="AD45" s="570"/>
      <c r="AE45" s="570"/>
      <c r="AF45" s="570"/>
      <c r="AG45" s="571"/>
      <c r="AH45" s="559"/>
      <c r="AI45" s="560"/>
      <c r="AJ45" s="560"/>
      <c r="AK45" s="560"/>
      <c r="AL45" s="560"/>
      <c r="AM45" s="561"/>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576" t="s">
        <v>109</v>
      </c>
      <c r="K46" s="577"/>
      <c r="L46" s="577"/>
      <c r="M46" s="577"/>
      <c r="N46" s="577"/>
      <c r="O46" s="578"/>
      <c r="P46" s="576" t="s">
        <v>108</v>
      </c>
      <c r="Q46" s="577"/>
      <c r="R46" s="577"/>
      <c r="S46" s="577"/>
      <c r="T46" s="577"/>
      <c r="U46" s="578"/>
      <c r="V46" s="576" t="s">
        <v>107</v>
      </c>
      <c r="W46" s="577"/>
      <c r="X46" s="577"/>
      <c r="Y46" s="577"/>
      <c r="Z46" s="577"/>
      <c r="AA46" s="578"/>
      <c r="AB46" s="576" t="s">
        <v>106</v>
      </c>
      <c r="AC46" s="586"/>
      <c r="AD46" s="577"/>
      <c r="AE46" s="577"/>
      <c r="AF46" s="577"/>
      <c r="AG46" s="578"/>
      <c r="AH46" s="576" t="s">
        <v>105</v>
      </c>
      <c r="AI46" s="577"/>
      <c r="AJ46" s="577"/>
      <c r="AK46" s="577"/>
      <c r="AL46" s="577"/>
      <c r="AM46" s="578"/>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579"/>
      <c r="K47" s="580"/>
      <c r="L47" s="580"/>
      <c r="M47" s="580"/>
      <c r="N47" s="580"/>
      <c r="O47" s="581"/>
      <c r="P47" s="579"/>
      <c r="Q47" s="580"/>
      <c r="R47" s="580"/>
      <c r="S47" s="580"/>
      <c r="T47" s="580"/>
      <c r="U47" s="581"/>
      <c r="V47" s="579"/>
      <c r="W47" s="580"/>
      <c r="X47" s="580"/>
      <c r="Y47" s="580"/>
      <c r="Z47" s="580"/>
      <c r="AA47" s="581"/>
      <c r="AB47" s="579"/>
      <c r="AC47" s="580"/>
      <c r="AD47" s="580"/>
      <c r="AE47" s="580"/>
      <c r="AF47" s="580"/>
      <c r="AG47" s="581"/>
      <c r="AH47" s="579"/>
      <c r="AI47" s="580"/>
      <c r="AJ47" s="580"/>
      <c r="AK47" s="580"/>
      <c r="AL47" s="580"/>
      <c r="AM47" s="581"/>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579"/>
      <c r="K48" s="580"/>
      <c r="L48" s="580"/>
      <c r="M48" s="580"/>
      <c r="N48" s="580"/>
      <c r="O48" s="581"/>
      <c r="P48" s="579"/>
      <c r="Q48" s="580"/>
      <c r="R48" s="580"/>
      <c r="S48" s="580"/>
      <c r="T48" s="580"/>
      <c r="U48" s="581"/>
      <c r="V48" s="579"/>
      <c r="W48" s="580"/>
      <c r="X48" s="580"/>
      <c r="Y48" s="580"/>
      <c r="Z48" s="580"/>
      <c r="AA48" s="581"/>
      <c r="AB48" s="579"/>
      <c r="AC48" s="580"/>
      <c r="AD48" s="580"/>
      <c r="AE48" s="580"/>
      <c r="AF48" s="580"/>
      <c r="AG48" s="581"/>
      <c r="AH48" s="579"/>
      <c r="AI48" s="580"/>
      <c r="AJ48" s="580"/>
      <c r="AK48" s="580"/>
      <c r="AL48" s="580"/>
      <c r="AM48" s="581"/>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579"/>
      <c r="K49" s="580"/>
      <c r="L49" s="580"/>
      <c r="M49" s="580"/>
      <c r="N49" s="580"/>
      <c r="O49" s="581"/>
      <c r="P49" s="579"/>
      <c r="Q49" s="580"/>
      <c r="R49" s="580"/>
      <c r="S49" s="580"/>
      <c r="T49" s="580"/>
      <c r="U49" s="581"/>
      <c r="V49" s="579"/>
      <c r="W49" s="580"/>
      <c r="X49" s="580"/>
      <c r="Y49" s="580"/>
      <c r="Z49" s="580"/>
      <c r="AA49" s="581"/>
      <c r="AB49" s="579"/>
      <c r="AC49" s="580"/>
      <c r="AD49" s="580"/>
      <c r="AE49" s="580"/>
      <c r="AF49" s="580"/>
      <c r="AG49" s="581"/>
      <c r="AH49" s="579"/>
      <c r="AI49" s="580"/>
      <c r="AJ49" s="580"/>
      <c r="AK49" s="580"/>
      <c r="AL49" s="580"/>
      <c r="AM49" s="581"/>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579"/>
      <c r="K50" s="580"/>
      <c r="L50" s="580"/>
      <c r="M50" s="580"/>
      <c r="N50" s="580"/>
      <c r="O50" s="581"/>
      <c r="P50" s="579"/>
      <c r="Q50" s="580"/>
      <c r="R50" s="580"/>
      <c r="S50" s="580"/>
      <c r="T50" s="580"/>
      <c r="U50" s="581"/>
      <c r="V50" s="579"/>
      <c r="W50" s="580"/>
      <c r="X50" s="580"/>
      <c r="Y50" s="580"/>
      <c r="Z50" s="580"/>
      <c r="AA50" s="581"/>
      <c r="AB50" s="579"/>
      <c r="AC50" s="580"/>
      <c r="AD50" s="580"/>
      <c r="AE50" s="580"/>
      <c r="AF50" s="580"/>
      <c r="AG50" s="581"/>
      <c r="AH50" s="579"/>
      <c r="AI50" s="580"/>
      <c r="AJ50" s="580"/>
      <c r="AK50" s="580"/>
      <c r="AL50" s="580"/>
      <c r="AM50" s="581"/>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582"/>
      <c r="K51" s="583"/>
      <c r="L51" s="583"/>
      <c r="M51" s="583"/>
      <c r="N51" s="583"/>
      <c r="O51" s="584"/>
      <c r="P51" s="582"/>
      <c r="Q51" s="583"/>
      <c r="R51" s="583"/>
      <c r="S51" s="583"/>
      <c r="T51" s="583"/>
      <c r="U51" s="584"/>
      <c r="V51" s="582"/>
      <c r="W51" s="583"/>
      <c r="X51" s="583"/>
      <c r="Y51" s="583"/>
      <c r="Z51" s="583"/>
      <c r="AA51" s="584"/>
      <c r="AB51" s="582"/>
      <c r="AC51" s="583"/>
      <c r="AD51" s="583"/>
      <c r="AE51" s="583"/>
      <c r="AF51" s="583"/>
      <c r="AG51" s="584"/>
      <c r="AH51" s="582"/>
      <c r="AI51" s="583"/>
      <c r="AJ51" s="583"/>
      <c r="AK51" s="583"/>
      <c r="AL51" s="583"/>
      <c r="AM51" s="584"/>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28" zoomScale="50" zoomScaleNormal="50" workbookViewId="0">
      <selection activeCell="AL47" sqref="AL47"/>
    </sheetView>
  </sheetViews>
  <sheetFormatPr baseColWidth="10" defaultRowHeight="14.5" x14ac:dyDescent="0.35"/>
  <cols>
    <col min="2" max="18" width="5.7265625" customWidth="1"/>
    <col min="19" max="19" width="8.453125" customWidth="1"/>
    <col min="20" max="23" width="5.7265625" customWidth="1"/>
    <col min="24" max="24" width="8.54296875" customWidth="1"/>
    <col min="25" max="26" width="5.7265625" customWidth="1"/>
    <col min="27" max="27" width="10.7265625" customWidth="1"/>
    <col min="28" max="28" width="5.7265625"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655" t="s">
        <v>155</v>
      </c>
      <c r="C2" s="656"/>
      <c r="D2" s="656"/>
      <c r="E2" s="656"/>
      <c r="F2" s="656"/>
      <c r="G2" s="656"/>
      <c r="H2" s="656"/>
      <c r="I2" s="656"/>
      <c r="J2" s="575" t="s">
        <v>2</v>
      </c>
      <c r="K2" s="575"/>
      <c r="L2" s="575"/>
      <c r="M2" s="575"/>
      <c r="N2" s="575"/>
      <c r="O2" s="575"/>
      <c r="P2" s="575"/>
      <c r="Q2" s="575"/>
      <c r="R2" s="575"/>
      <c r="S2" s="575"/>
      <c r="T2" s="575"/>
      <c r="U2" s="575"/>
      <c r="V2" s="575"/>
      <c r="W2" s="575"/>
      <c r="X2" s="575"/>
      <c r="Y2" s="575"/>
      <c r="Z2" s="575"/>
      <c r="AA2" s="575"/>
      <c r="AB2" s="575"/>
      <c r="AC2" s="575"/>
      <c r="AD2" s="575"/>
      <c r="AE2" s="575"/>
      <c r="AF2" s="575"/>
      <c r="AG2" s="575"/>
      <c r="AH2" s="575"/>
      <c r="AI2" s="575"/>
      <c r="AJ2" s="575"/>
      <c r="AK2" s="575"/>
      <c r="AL2" s="575"/>
      <c r="AM2" s="57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656"/>
      <c r="C3" s="656"/>
      <c r="D3" s="656"/>
      <c r="E3" s="656"/>
      <c r="F3" s="656"/>
      <c r="G3" s="656"/>
      <c r="H3" s="656"/>
      <c r="I3" s="656"/>
      <c r="J3" s="575"/>
      <c r="K3" s="575"/>
      <c r="L3" s="575"/>
      <c r="M3" s="575"/>
      <c r="N3" s="575"/>
      <c r="O3" s="575"/>
      <c r="P3" s="575"/>
      <c r="Q3" s="575"/>
      <c r="R3" s="575"/>
      <c r="S3" s="575"/>
      <c r="T3" s="575"/>
      <c r="U3" s="575"/>
      <c r="V3" s="575"/>
      <c r="W3" s="575"/>
      <c r="X3" s="575"/>
      <c r="Y3" s="575"/>
      <c r="Z3" s="575"/>
      <c r="AA3" s="575"/>
      <c r="AB3" s="575"/>
      <c r="AC3" s="575"/>
      <c r="AD3" s="575"/>
      <c r="AE3" s="575"/>
      <c r="AF3" s="575"/>
      <c r="AG3" s="575"/>
      <c r="AH3" s="575"/>
      <c r="AI3" s="575"/>
      <c r="AJ3" s="575"/>
      <c r="AK3" s="575"/>
      <c r="AL3" s="575"/>
      <c r="AM3" s="57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656"/>
      <c r="C4" s="656"/>
      <c r="D4" s="656"/>
      <c r="E4" s="656"/>
      <c r="F4" s="656"/>
      <c r="G4" s="656"/>
      <c r="H4" s="656"/>
      <c r="I4" s="656"/>
      <c r="J4" s="575"/>
      <c r="K4" s="575"/>
      <c r="L4" s="575"/>
      <c r="M4" s="575"/>
      <c r="N4" s="575"/>
      <c r="O4" s="575"/>
      <c r="P4" s="575"/>
      <c r="Q4" s="575"/>
      <c r="R4" s="575"/>
      <c r="S4" s="575"/>
      <c r="T4" s="575"/>
      <c r="U4" s="575"/>
      <c r="V4" s="575"/>
      <c r="W4" s="575"/>
      <c r="X4" s="575"/>
      <c r="Y4" s="575"/>
      <c r="Z4" s="575"/>
      <c r="AA4" s="575"/>
      <c r="AB4" s="575"/>
      <c r="AC4" s="575"/>
      <c r="AD4" s="575"/>
      <c r="AE4" s="575"/>
      <c r="AF4" s="575"/>
      <c r="AG4" s="575"/>
      <c r="AH4" s="575"/>
      <c r="AI4" s="575"/>
      <c r="AJ4" s="575"/>
      <c r="AK4" s="575"/>
      <c r="AL4" s="575"/>
      <c r="AM4" s="57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587" t="s">
        <v>4</v>
      </c>
      <c r="C6" s="587"/>
      <c r="D6" s="588"/>
      <c r="E6" s="625" t="s">
        <v>113</v>
      </c>
      <c r="F6" s="626"/>
      <c r="G6" s="626"/>
      <c r="H6" s="626"/>
      <c r="I6" s="627"/>
      <c r="J6" s="32" t="str">
        <f>IF(AND('Mapa final'!$Y$10="Muy Alta",'Mapa final'!$AA$10="Leve"),CONCATENATE("R1C",'Mapa final'!$O$10),"")</f>
        <v/>
      </c>
      <c r="K6" s="33" t="str">
        <f>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646" t="s">
        <v>76</v>
      </c>
      <c r="AP6" s="647"/>
      <c r="AQ6" s="647"/>
      <c r="AR6" s="647"/>
      <c r="AS6" s="647"/>
      <c r="AT6" s="648"/>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587"/>
      <c r="C7" s="587"/>
      <c r="D7" s="588"/>
      <c r="E7" s="628"/>
      <c r="F7" s="629"/>
      <c r="G7" s="629"/>
      <c r="H7" s="629"/>
      <c r="I7" s="630"/>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649"/>
      <c r="AP7" s="650"/>
      <c r="AQ7" s="650"/>
      <c r="AR7" s="650"/>
      <c r="AS7" s="650"/>
      <c r="AT7" s="651"/>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587"/>
      <c r="C8" s="587"/>
      <c r="D8" s="588"/>
      <c r="E8" s="628"/>
      <c r="F8" s="629"/>
      <c r="G8" s="629"/>
      <c r="H8" s="629"/>
      <c r="I8" s="630"/>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649"/>
      <c r="AP8" s="650"/>
      <c r="AQ8" s="650"/>
      <c r="AR8" s="650"/>
      <c r="AS8" s="650"/>
      <c r="AT8" s="651"/>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587"/>
      <c r="C9" s="587"/>
      <c r="D9" s="588"/>
      <c r="E9" s="628"/>
      <c r="F9" s="629"/>
      <c r="G9" s="629"/>
      <c r="H9" s="629"/>
      <c r="I9" s="630"/>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649"/>
      <c r="AP9" s="650"/>
      <c r="AQ9" s="650"/>
      <c r="AR9" s="650"/>
      <c r="AS9" s="650"/>
      <c r="AT9" s="651"/>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587"/>
      <c r="C10" s="587"/>
      <c r="D10" s="588"/>
      <c r="E10" s="628"/>
      <c r="F10" s="629"/>
      <c r="G10" s="629"/>
      <c r="H10" s="629"/>
      <c r="I10" s="630"/>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649"/>
      <c r="AP10" s="650"/>
      <c r="AQ10" s="650"/>
      <c r="AR10" s="650"/>
      <c r="AS10" s="650"/>
      <c r="AT10" s="651"/>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587"/>
      <c r="C11" s="587"/>
      <c r="D11" s="588"/>
      <c r="E11" s="628"/>
      <c r="F11" s="629"/>
      <c r="G11" s="629"/>
      <c r="H11" s="629"/>
      <c r="I11" s="630"/>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649"/>
      <c r="AP11" s="650"/>
      <c r="AQ11" s="650"/>
      <c r="AR11" s="650"/>
      <c r="AS11" s="650"/>
      <c r="AT11" s="651"/>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587"/>
      <c r="C12" s="587"/>
      <c r="D12" s="588"/>
      <c r="E12" s="628"/>
      <c r="F12" s="629"/>
      <c r="G12" s="629"/>
      <c r="H12" s="629"/>
      <c r="I12" s="630"/>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649"/>
      <c r="AP12" s="650"/>
      <c r="AQ12" s="650"/>
      <c r="AR12" s="650"/>
      <c r="AS12" s="650"/>
      <c r="AT12" s="651"/>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587"/>
      <c r="C13" s="587"/>
      <c r="D13" s="588"/>
      <c r="E13" s="628"/>
      <c r="F13" s="629"/>
      <c r="G13" s="629"/>
      <c r="H13" s="629"/>
      <c r="I13" s="630"/>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649"/>
      <c r="AP13" s="650"/>
      <c r="AQ13" s="650"/>
      <c r="AR13" s="650"/>
      <c r="AS13" s="650"/>
      <c r="AT13" s="651"/>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587"/>
      <c r="C14" s="587"/>
      <c r="D14" s="588"/>
      <c r="E14" s="628"/>
      <c r="F14" s="629"/>
      <c r="G14" s="629"/>
      <c r="H14" s="629"/>
      <c r="I14" s="630"/>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649"/>
      <c r="AP14" s="650"/>
      <c r="AQ14" s="650"/>
      <c r="AR14" s="650"/>
      <c r="AS14" s="650"/>
      <c r="AT14" s="651"/>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587"/>
      <c r="C15" s="587"/>
      <c r="D15" s="588"/>
      <c r="E15" s="631"/>
      <c r="F15" s="632"/>
      <c r="G15" s="632"/>
      <c r="H15" s="632"/>
      <c r="I15" s="633"/>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652"/>
      <c r="AP15" s="653"/>
      <c r="AQ15" s="653"/>
      <c r="AR15" s="653"/>
      <c r="AS15" s="653"/>
      <c r="AT15" s="654"/>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587"/>
      <c r="C16" s="587"/>
      <c r="D16" s="588"/>
      <c r="E16" s="625" t="s">
        <v>112</v>
      </c>
      <c r="F16" s="626"/>
      <c r="G16" s="626"/>
      <c r="H16" s="626"/>
      <c r="I16" s="626"/>
      <c r="J16" s="51" t="str">
        <f>IF(AND('Mapa final'!$Y$10="Alta",'Mapa final'!$AA$10="Leve"),CONCATENATE("R1C",'Mapa final'!$O$10),"")</f>
        <v/>
      </c>
      <c r="K16" s="52" t="str">
        <f>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635" t="s">
        <v>77</v>
      </c>
      <c r="AP16" s="636"/>
      <c r="AQ16" s="636"/>
      <c r="AR16" s="636"/>
      <c r="AS16" s="636"/>
      <c r="AT16" s="637"/>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587"/>
      <c r="C17" s="587"/>
      <c r="D17" s="588"/>
      <c r="E17" s="644"/>
      <c r="F17" s="645"/>
      <c r="G17" s="645"/>
      <c r="H17" s="645"/>
      <c r="I17" s="645"/>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38"/>
      <c r="AP17" s="639"/>
      <c r="AQ17" s="639"/>
      <c r="AR17" s="639"/>
      <c r="AS17" s="639"/>
      <c r="AT17" s="64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587"/>
      <c r="C18" s="587"/>
      <c r="D18" s="588"/>
      <c r="E18" s="628"/>
      <c r="F18" s="629"/>
      <c r="G18" s="629"/>
      <c r="H18" s="629"/>
      <c r="I18" s="645"/>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38"/>
      <c r="AP18" s="639"/>
      <c r="AQ18" s="639"/>
      <c r="AR18" s="639"/>
      <c r="AS18" s="639"/>
      <c r="AT18" s="64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587"/>
      <c r="C19" s="587"/>
      <c r="D19" s="588"/>
      <c r="E19" s="628"/>
      <c r="F19" s="629"/>
      <c r="G19" s="629"/>
      <c r="H19" s="629"/>
      <c r="I19" s="645"/>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38"/>
      <c r="AP19" s="639"/>
      <c r="AQ19" s="639"/>
      <c r="AR19" s="639"/>
      <c r="AS19" s="639"/>
      <c r="AT19" s="64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587"/>
      <c r="C20" s="587"/>
      <c r="D20" s="588"/>
      <c r="E20" s="628"/>
      <c r="F20" s="629"/>
      <c r="G20" s="629"/>
      <c r="H20" s="629"/>
      <c r="I20" s="645"/>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38"/>
      <c r="AP20" s="639"/>
      <c r="AQ20" s="639"/>
      <c r="AR20" s="639"/>
      <c r="AS20" s="639"/>
      <c r="AT20" s="64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587"/>
      <c r="C21" s="587"/>
      <c r="D21" s="588"/>
      <c r="E21" s="628"/>
      <c r="F21" s="629"/>
      <c r="G21" s="629"/>
      <c r="H21" s="629"/>
      <c r="I21" s="645"/>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38"/>
      <c r="AP21" s="639"/>
      <c r="AQ21" s="639"/>
      <c r="AR21" s="639"/>
      <c r="AS21" s="639"/>
      <c r="AT21" s="64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587"/>
      <c r="C22" s="587"/>
      <c r="D22" s="588"/>
      <c r="E22" s="628"/>
      <c r="F22" s="629"/>
      <c r="G22" s="629"/>
      <c r="H22" s="629"/>
      <c r="I22" s="645"/>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38"/>
      <c r="AP22" s="639"/>
      <c r="AQ22" s="639"/>
      <c r="AR22" s="639"/>
      <c r="AS22" s="639"/>
      <c r="AT22" s="64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587"/>
      <c r="C23" s="587"/>
      <c r="D23" s="588"/>
      <c r="E23" s="628"/>
      <c r="F23" s="629"/>
      <c r="G23" s="629"/>
      <c r="H23" s="629"/>
      <c r="I23" s="645"/>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38"/>
      <c r="AP23" s="639"/>
      <c r="AQ23" s="639"/>
      <c r="AR23" s="639"/>
      <c r="AS23" s="639"/>
      <c r="AT23" s="64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587"/>
      <c r="C24" s="587"/>
      <c r="D24" s="588"/>
      <c r="E24" s="628"/>
      <c r="F24" s="629"/>
      <c r="G24" s="629"/>
      <c r="H24" s="629"/>
      <c r="I24" s="645"/>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38"/>
      <c r="AP24" s="639"/>
      <c r="AQ24" s="639"/>
      <c r="AR24" s="639"/>
      <c r="AS24" s="639"/>
      <c r="AT24" s="64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587"/>
      <c r="C25" s="587"/>
      <c r="D25" s="588"/>
      <c r="E25" s="631"/>
      <c r="F25" s="632"/>
      <c r="G25" s="632"/>
      <c r="H25" s="632"/>
      <c r="I25" s="632"/>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641"/>
      <c r="AP25" s="642"/>
      <c r="AQ25" s="642"/>
      <c r="AR25" s="642"/>
      <c r="AS25" s="642"/>
      <c r="AT25" s="643"/>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587"/>
      <c r="C26" s="587"/>
      <c r="D26" s="588"/>
      <c r="E26" s="625" t="s">
        <v>114</v>
      </c>
      <c r="F26" s="626"/>
      <c r="G26" s="626"/>
      <c r="H26" s="626"/>
      <c r="I26" s="627"/>
      <c r="J26" s="51" t="str">
        <f>IF(AND('Mapa final'!$Y$10="Media",'Mapa final'!$AA$10="Leve"),CONCATENATE("R1C",'Mapa final'!$O$10),"")</f>
        <v/>
      </c>
      <c r="K26" s="52" t="str">
        <f>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666" t="s">
        <v>78</v>
      </c>
      <c r="AP26" s="667"/>
      <c r="AQ26" s="667"/>
      <c r="AR26" s="667"/>
      <c r="AS26" s="667"/>
      <c r="AT26" s="668"/>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587"/>
      <c r="C27" s="587"/>
      <c r="D27" s="588"/>
      <c r="E27" s="644"/>
      <c r="F27" s="645"/>
      <c r="G27" s="645"/>
      <c r="H27" s="645"/>
      <c r="I27" s="630"/>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669"/>
      <c r="AP27" s="670"/>
      <c r="AQ27" s="670"/>
      <c r="AR27" s="670"/>
      <c r="AS27" s="670"/>
      <c r="AT27" s="671"/>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587"/>
      <c r="C28" s="587"/>
      <c r="D28" s="588"/>
      <c r="E28" s="628"/>
      <c r="F28" s="629"/>
      <c r="G28" s="629"/>
      <c r="H28" s="629"/>
      <c r="I28" s="630"/>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669"/>
      <c r="AP28" s="670"/>
      <c r="AQ28" s="670"/>
      <c r="AR28" s="670"/>
      <c r="AS28" s="670"/>
      <c r="AT28" s="671"/>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587"/>
      <c r="C29" s="587"/>
      <c r="D29" s="588"/>
      <c r="E29" s="628"/>
      <c r="F29" s="629"/>
      <c r="G29" s="629"/>
      <c r="H29" s="629"/>
      <c r="I29" s="630"/>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669"/>
      <c r="AP29" s="670"/>
      <c r="AQ29" s="670"/>
      <c r="AR29" s="670"/>
      <c r="AS29" s="670"/>
      <c r="AT29" s="671"/>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587"/>
      <c r="C30" s="587"/>
      <c r="D30" s="588"/>
      <c r="E30" s="628"/>
      <c r="F30" s="629"/>
      <c r="G30" s="629"/>
      <c r="H30" s="629"/>
      <c r="I30" s="630"/>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669"/>
      <c r="AP30" s="670"/>
      <c r="AQ30" s="670"/>
      <c r="AR30" s="670"/>
      <c r="AS30" s="670"/>
      <c r="AT30" s="671"/>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587"/>
      <c r="C31" s="587"/>
      <c r="D31" s="588"/>
      <c r="E31" s="628"/>
      <c r="F31" s="629"/>
      <c r="G31" s="629"/>
      <c r="H31" s="629"/>
      <c r="I31" s="630"/>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669"/>
      <c r="AP31" s="670"/>
      <c r="AQ31" s="670"/>
      <c r="AR31" s="670"/>
      <c r="AS31" s="670"/>
      <c r="AT31" s="67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587"/>
      <c r="C32" s="587"/>
      <c r="D32" s="588"/>
      <c r="E32" s="628"/>
      <c r="F32" s="629"/>
      <c r="G32" s="629"/>
      <c r="H32" s="629"/>
      <c r="I32" s="630"/>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669"/>
      <c r="AP32" s="670"/>
      <c r="AQ32" s="670"/>
      <c r="AR32" s="670"/>
      <c r="AS32" s="670"/>
      <c r="AT32" s="67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587"/>
      <c r="C33" s="587"/>
      <c r="D33" s="588"/>
      <c r="E33" s="628"/>
      <c r="F33" s="629"/>
      <c r="G33" s="629"/>
      <c r="H33" s="629"/>
      <c r="I33" s="630"/>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669"/>
      <c r="AP33" s="670"/>
      <c r="AQ33" s="670"/>
      <c r="AR33" s="670"/>
      <c r="AS33" s="670"/>
      <c r="AT33" s="67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587"/>
      <c r="C34" s="587"/>
      <c r="D34" s="588"/>
      <c r="E34" s="628"/>
      <c r="F34" s="629"/>
      <c r="G34" s="629"/>
      <c r="H34" s="629"/>
      <c r="I34" s="630"/>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669"/>
      <c r="AP34" s="670"/>
      <c r="AQ34" s="670"/>
      <c r="AR34" s="670"/>
      <c r="AS34" s="670"/>
      <c r="AT34" s="67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587"/>
      <c r="C35" s="587"/>
      <c r="D35" s="588"/>
      <c r="E35" s="631"/>
      <c r="F35" s="632"/>
      <c r="G35" s="632"/>
      <c r="H35" s="632"/>
      <c r="I35" s="633"/>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672"/>
      <c r="AP35" s="673"/>
      <c r="AQ35" s="673"/>
      <c r="AR35" s="673"/>
      <c r="AS35" s="673"/>
      <c r="AT35" s="674"/>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35">
      <c r="A36" s="70"/>
      <c r="B36" s="587"/>
      <c r="C36" s="587"/>
      <c r="D36" s="588"/>
      <c r="E36" s="625" t="s">
        <v>111</v>
      </c>
      <c r="F36" s="626"/>
      <c r="G36" s="626"/>
      <c r="H36" s="626"/>
      <c r="I36" s="626"/>
      <c r="J36" s="60" t="str">
        <f>IF(AND('Mapa final'!$Y$10="Baja",'Mapa final'!$AA$10="Leve"),CONCATENATE("R1C",'Mapa final'!$O$10),"")</f>
        <v/>
      </c>
      <c r="K36" s="61" t="str">
        <f>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51" t="str">
        <f>IF(AND('Mapa final'!$Y$10="Baja",'Mapa final'!$AA$10="Menor"),CONCATENATE("R1C",'Mapa final'!$O$10),"")</f>
        <v/>
      </c>
      <c r="Q36" s="52" t="str">
        <f>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32" t="str">
        <f>IF(AND('Mapa final'!$Y$10="Baja",'Mapa final'!$AA$10="Mayor"),CONCATENATE("R1C",'Mapa final'!$O$10),"")</f>
        <v/>
      </c>
      <c r="AC36" s="33" t="str">
        <f>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5" t="str">
        <f>IF(AND('Mapa final'!$Y$10="Baja",'Mapa final'!$AA$10="Catastrófico"),CONCATENATE("R1C",'Mapa final'!$O$10),"")</f>
        <v>R1C1</v>
      </c>
      <c r="AI36" s="36" t="str">
        <f>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657" t="s">
        <v>79</v>
      </c>
      <c r="AP36" s="658"/>
      <c r="AQ36" s="658"/>
      <c r="AR36" s="658"/>
      <c r="AS36" s="658"/>
      <c r="AT36" s="659"/>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35">
      <c r="A37" s="70"/>
      <c r="B37" s="587"/>
      <c r="C37" s="587"/>
      <c r="D37" s="588"/>
      <c r="E37" s="644"/>
      <c r="F37" s="645"/>
      <c r="G37" s="645"/>
      <c r="H37" s="645"/>
      <c r="I37" s="645"/>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54" t="str">
        <f>IF(AND('Mapa final'!$Y$16="Baja",'Mapa final'!$AA$16="Menor"),CONCATENATE("R2C",'Mapa final'!$O$16),"")</f>
        <v>R2C1</v>
      </c>
      <c r="Q37" s="55" t="str">
        <f>IF(AND('Mapa final'!$Y$17="Baja",'Mapa final'!$AA$17="Menor"),CONCATENATE("R2C",'Mapa final'!$O$17),"")</f>
        <v>R2C2</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660"/>
      <c r="AP37" s="661"/>
      <c r="AQ37" s="661"/>
      <c r="AR37" s="661"/>
      <c r="AS37" s="661"/>
      <c r="AT37" s="662"/>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35">
      <c r="A38" s="70"/>
      <c r="B38" s="587"/>
      <c r="C38" s="587"/>
      <c r="D38" s="588"/>
      <c r="E38" s="628"/>
      <c r="F38" s="629"/>
      <c r="G38" s="629"/>
      <c r="H38" s="629"/>
      <c r="I38" s="645"/>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R3C1</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54" t="str">
        <f>IF(AND('Mapa final'!$Y$22="Baja",'Mapa final'!$AA$22="Moderado"),CONCATENATE("R3C",'Mapa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660"/>
      <c r="AP38" s="661"/>
      <c r="AQ38" s="661"/>
      <c r="AR38" s="661"/>
      <c r="AS38" s="661"/>
      <c r="AT38" s="662"/>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587"/>
      <c r="C39" s="587"/>
      <c r="D39" s="588"/>
      <c r="E39" s="628"/>
      <c r="F39" s="629"/>
      <c r="G39" s="629"/>
      <c r="H39" s="629"/>
      <c r="I39" s="645"/>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660"/>
      <c r="AP39" s="661"/>
      <c r="AQ39" s="661"/>
      <c r="AR39" s="661"/>
      <c r="AS39" s="661"/>
      <c r="AT39" s="662"/>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587"/>
      <c r="C40" s="587"/>
      <c r="D40" s="588"/>
      <c r="E40" s="628"/>
      <c r="F40" s="629"/>
      <c r="G40" s="629"/>
      <c r="H40" s="629"/>
      <c r="I40" s="645"/>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660"/>
      <c r="AP40" s="661"/>
      <c r="AQ40" s="661"/>
      <c r="AR40" s="661"/>
      <c r="AS40" s="661"/>
      <c r="AT40" s="662"/>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587"/>
      <c r="C41" s="587"/>
      <c r="D41" s="588"/>
      <c r="E41" s="628"/>
      <c r="F41" s="629"/>
      <c r="G41" s="629"/>
      <c r="H41" s="629"/>
      <c r="I41" s="645"/>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660"/>
      <c r="AP41" s="661"/>
      <c r="AQ41" s="661"/>
      <c r="AR41" s="661"/>
      <c r="AS41" s="661"/>
      <c r="AT41" s="662"/>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587"/>
      <c r="C42" s="587"/>
      <c r="D42" s="588"/>
      <c r="E42" s="628"/>
      <c r="F42" s="629"/>
      <c r="G42" s="629"/>
      <c r="H42" s="629"/>
      <c r="I42" s="645"/>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660"/>
      <c r="AP42" s="661"/>
      <c r="AQ42" s="661"/>
      <c r="AR42" s="661"/>
      <c r="AS42" s="661"/>
      <c r="AT42" s="662"/>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587"/>
      <c r="C43" s="587"/>
      <c r="D43" s="588"/>
      <c r="E43" s="628"/>
      <c r="F43" s="629"/>
      <c r="G43" s="629"/>
      <c r="H43" s="629"/>
      <c r="I43" s="645"/>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660"/>
      <c r="AP43" s="661"/>
      <c r="AQ43" s="661"/>
      <c r="AR43" s="661"/>
      <c r="AS43" s="661"/>
      <c r="AT43" s="662"/>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587"/>
      <c r="C44" s="587"/>
      <c r="D44" s="588"/>
      <c r="E44" s="628"/>
      <c r="F44" s="629"/>
      <c r="G44" s="629"/>
      <c r="H44" s="629"/>
      <c r="I44" s="645"/>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660"/>
      <c r="AP44" s="661"/>
      <c r="AQ44" s="661"/>
      <c r="AR44" s="661"/>
      <c r="AS44" s="661"/>
      <c r="AT44" s="662"/>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587"/>
      <c r="C45" s="587"/>
      <c r="D45" s="588"/>
      <c r="E45" s="631"/>
      <c r="F45" s="632"/>
      <c r="G45" s="632"/>
      <c r="H45" s="632"/>
      <c r="I45" s="632"/>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663"/>
      <c r="AP45" s="664"/>
      <c r="AQ45" s="664"/>
      <c r="AR45" s="664"/>
      <c r="AS45" s="664"/>
      <c r="AT45" s="665"/>
    </row>
    <row r="46" spans="1:80" ht="46.5" customHeight="1" x14ac:dyDescent="0.55000000000000004">
      <c r="A46" s="70"/>
      <c r="B46" s="587"/>
      <c r="C46" s="587"/>
      <c r="D46" s="588"/>
      <c r="E46" s="625" t="s">
        <v>110</v>
      </c>
      <c r="F46" s="626"/>
      <c r="G46" s="626"/>
      <c r="H46" s="626"/>
      <c r="I46" s="627"/>
      <c r="J46" s="60" t="str">
        <f>IF(AND('Mapa final'!$Y$10="Muy Baja",'Mapa final'!$AA$10="Leve"),CONCATENATE("R1C",'Mapa final'!$O$10),"")</f>
        <v/>
      </c>
      <c r="K46" s="61" t="str">
        <f>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IF(AND('Mapa final'!$Y$11="Muy Baja",'Mapa final'!$AA$11="Catastrófico"),CONCATENATE("R1C",'Mapa final'!$O$11),"")</f>
        <v>R1C2</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587"/>
      <c r="C47" s="587"/>
      <c r="D47" s="588"/>
      <c r="E47" s="644"/>
      <c r="F47" s="645"/>
      <c r="G47" s="645"/>
      <c r="H47" s="645"/>
      <c r="I47" s="630"/>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64" t="str">
        <f>IF(AND('Mapa final'!$Y$18="Muy Baja",'Mapa final'!$AA$18="Menor"),CONCATENATE("R2C",'Mapa final'!$O$18),"")</f>
        <v/>
      </c>
      <c r="S47" s="64"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587"/>
      <c r="C48" s="587"/>
      <c r="D48" s="588"/>
      <c r="E48" s="644"/>
      <c r="F48" s="645"/>
      <c r="G48" s="645"/>
      <c r="H48" s="645"/>
      <c r="I48" s="630"/>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R3C2</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587"/>
      <c r="C49" s="587"/>
      <c r="D49" s="588"/>
      <c r="E49" s="628"/>
      <c r="F49" s="629"/>
      <c r="G49" s="629"/>
      <c r="H49" s="629"/>
      <c r="I49" s="630"/>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587"/>
      <c r="C50" s="587"/>
      <c r="D50" s="588"/>
      <c r="E50" s="628"/>
      <c r="F50" s="629"/>
      <c r="G50" s="629"/>
      <c r="H50" s="629"/>
      <c r="I50" s="630"/>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587"/>
      <c r="C51" s="587"/>
      <c r="D51" s="588"/>
      <c r="E51" s="628"/>
      <c r="F51" s="629"/>
      <c r="G51" s="629"/>
      <c r="H51" s="629"/>
      <c r="I51" s="630"/>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587"/>
      <c r="C52" s="587"/>
      <c r="D52" s="588"/>
      <c r="E52" s="628"/>
      <c r="F52" s="629"/>
      <c r="G52" s="629"/>
      <c r="H52" s="629"/>
      <c r="I52" s="630"/>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587"/>
      <c r="C53" s="587"/>
      <c r="D53" s="588"/>
      <c r="E53" s="628"/>
      <c r="F53" s="629"/>
      <c r="G53" s="629"/>
      <c r="H53" s="629"/>
      <c r="I53" s="630"/>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587"/>
      <c r="C54" s="587"/>
      <c r="D54" s="588"/>
      <c r="E54" s="628"/>
      <c r="F54" s="629"/>
      <c r="G54" s="629"/>
      <c r="H54" s="629"/>
      <c r="I54" s="630"/>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587"/>
      <c r="C55" s="587"/>
      <c r="D55" s="588"/>
      <c r="E55" s="631"/>
      <c r="F55" s="632"/>
      <c r="G55" s="632"/>
      <c r="H55" s="632"/>
      <c r="I55" s="633"/>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25" t="s">
        <v>109</v>
      </c>
      <c r="K56" s="626"/>
      <c r="L56" s="626"/>
      <c r="M56" s="626"/>
      <c r="N56" s="626"/>
      <c r="O56" s="627"/>
      <c r="P56" s="625" t="s">
        <v>108</v>
      </c>
      <c r="Q56" s="626"/>
      <c r="R56" s="626"/>
      <c r="S56" s="626"/>
      <c r="T56" s="626"/>
      <c r="U56" s="627"/>
      <c r="V56" s="625" t="s">
        <v>107</v>
      </c>
      <c r="W56" s="626"/>
      <c r="X56" s="626"/>
      <c r="Y56" s="626"/>
      <c r="Z56" s="626"/>
      <c r="AA56" s="627"/>
      <c r="AB56" s="625" t="s">
        <v>106</v>
      </c>
      <c r="AC56" s="634"/>
      <c r="AD56" s="626"/>
      <c r="AE56" s="626"/>
      <c r="AF56" s="626"/>
      <c r="AG56" s="627"/>
      <c r="AH56" s="625" t="s">
        <v>105</v>
      </c>
      <c r="AI56" s="626"/>
      <c r="AJ56" s="626"/>
      <c r="AK56" s="626"/>
      <c r="AL56" s="626"/>
      <c r="AM56" s="627"/>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28"/>
      <c r="K57" s="629"/>
      <c r="L57" s="629"/>
      <c r="M57" s="629"/>
      <c r="N57" s="629"/>
      <c r="O57" s="630"/>
      <c r="P57" s="628"/>
      <c r="Q57" s="629"/>
      <c r="R57" s="629"/>
      <c r="S57" s="629"/>
      <c r="T57" s="629"/>
      <c r="U57" s="630"/>
      <c r="V57" s="628"/>
      <c r="W57" s="629"/>
      <c r="X57" s="629"/>
      <c r="Y57" s="629"/>
      <c r="Z57" s="629"/>
      <c r="AA57" s="630"/>
      <c r="AB57" s="628"/>
      <c r="AC57" s="629"/>
      <c r="AD57" s="629"/>
      <c r="AE57" s="629"/>
      <c r="AF57" s="629"/>
      <c r="AG57" s="630"/>
      <c r="AH57" s="628"/>
      <c r="AI57" s="629"/>
      <c r="AJ57" s="629"/>
      <c r="AK57" s="629"/>
      <c r="AL57" s="629"/>
      <c r="AM57" s="63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28"/>
      <c r="K58" s="629"/>
      <c r="L58" s="629"/>
      <c r="M58" s="629"/>
      <c r="N58" s="629"/>
      <c r="O58" s="630"/>
      <c r="P58" s="628"/>
      <c r="Q58" s="629"/>
      <c r="R58" s="629"/>
      <c r="S58" s="629"/>
      <c r="T58" s="629"/>
      <c r="U58" s="630"/>
      <c r="V58" s="628"/>
      <c r="W58" s="629"/>
      <c r="X58" s="629"/>
      <c r="Y58" s="629"/>
      <c r="Z58" s="629"/>
      <c r="AA58" s="630"/>
      <c r="AB58" s="628"/>
      <c r="AC58" s="629"/>
      <c r="AD58" s="629"/>
      <c r="AE58" s="629"/>
      <c r="AF58" s="629"/>
      <c r="AG58" s="630"/>
      <c r="AH58" s="628"/>
      <c r="AI58" s="629"/>
      <c r="AJ58" s="629"/>
      <c r="AK58" s="629"/>
      <c r="AL58" s="629"/>
      <c r="AM58" s="63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28"/>
      <c r="K59" s="629"/>
      <c r="L59" s="629"/>
      <c r="M59" s="629"/>
      <c r="N59" s="629"/>
      <c r="O59" s="630"/>
      <c r="P59" s="628"/>
      <c r="Q59" s="629"/>
      <c r="R59" s="629"/>
      <c r="S59" s="629"/>
      <c r="T59" s="629"/>
      <c r="U59" s="630"/>
      <c r="V59" s="628"/>
      <c r="W59" s="629"/>
      <c r="X59" s="629"/>
      <c r="Y59" s="629"/>
      <c r="Z59" s="629"/>
      <c r="AA59" s="630"/>
      <c r="AB59" s="628"/>
      <c r="AC59" s="629"/>
      <c r="AD59" s="629"/>
      <c r="AE59" s="629"/>
      <c r="AF59" s="629"/>
      <c r="AG59" s="630"/>
      <c r="AH59" s="628"/>
      <c r="AI59" s="629"/>
      <c r="AJ59" s="629"/>
      <c r="AK59" s="629"/>
      <c r="AL59" s="629"/>
      <c r="AM59" s="63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28"/>
      <c r="K60" s="629"/>
      <c r="L60" s="629"/>
      <c r="M60" s="629"/>
      <c r="N60" s="629"/>
      <c r="O60" s="630"/>
      <c r="P60" s="628"/>
      <c r="Q60" s="629"/>
      <c r="R60" s="629"/>
      <c r="S60" s="629"/>
      <c r="T60" s="629"/>
      <c r="U60" s="630"/>
      <c r="V60" s="628"/>
      <c r="W60" s="629"/>
      <c r="X60" s="629"/>
      <c r="Y60" s="629"/>
      <c r="Z60" s="629"/>
      <c r="AA60" s="630"/>
      <c r="AB60" s="628"/>
      <c r="AC60" s="629"/>
      <c r="AD60" s="629"/>
      <c r="AE60" s="629"/>
      <c r="AF60" s="629"/>
      <c r="AG60" s="630"/>
      <c r="AH60" s="628"/>
      <c r="AI60" s="629"/>
      <c r="AJ60" s="629"/>
      <c r="AK60" s="629"/>
      <c r="AL60" s="629"/>
      <c r="AM60" s="63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31"/>
      <c r="K61" s="632"/>
      <c r="L61" s="632"/>
      <c r="M61" s="632"/>
      <c r="N61" s="632"/>
      <c r="O61" s="633"/>
      <c r="P61" s="631"/>
      <c r="Q61" s="632"/>
      <c r="R61" s="632"/>
      <c r="S61" s="632"/>
      <c r="T61" s="632"/>
      <c r="U61" s="633"/>
      <c r="V61" s="631"/>
      <c r="W61" s="632"/>
      <c r="X61" s="632"/>
      <c r="Y61" s="632"/>
      <c r="Z61" s="632"/>
      <c r="AA61" s="633"/>
      <c r="AB61" s="631"/>
      <c r="AC61" s="632"/>
      <c r="AD61" s="632"/>
      <c r="AE61" s="632"/>
      <c r="AF61" s="632"/>
      <c r="AG61" s="633"/>
      <c r="AH61" s="631"/>
      <c r="AI61" s="632"/>
      <c r="AJ61" s="632"/>
      <c r="AK61" s="632"/>
      <c r="AL61" s="632"/>
      <c r="AM61" s="633"/>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675" t="s">
        <v>52</v>
      </c>
      <c r="C1" s="675"/>
      <c r="D1" s="675"/>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676" t="s">
        <v>60</v>
      </c>
      <c r="C1" s="676"/>
      <c r="D1" s="676"/>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677" t="s">
        <v>75</v>
      </c>
      <c r="C1" s="678"/>
      <c r="D1" s="678"/>
      <c r="E1" s="678"/>
      <c r="F1" s="679"/>
    </row>
    <row r="2" spans="2:6" ht="16" thickBot="1" x14ac:dyDescent="0.4">
      <c r="B2" s="76"/>
      <c r="C2" s="76"/>
      <c r="D2" s="76"/>
      <c r="E2" s="76"/>
      <c r="F2" s="76"/>
    </row>
    <row r="3" spans="2:6" ht="16" thickBot="1" x14ac:dyDescent="0.35">
      <c r="B3" s="681" t="s">
        <v>61</v>
      </c>
      <c r="C3" s="682"/>
      <c r="D3" s="682"/>
      <c r="E3" s="88" t="s">
        <v>62</v>
      </c>
      <c r="F3" s="89" t="s">
        <v>63</v>
      </c>
    </row>
    <row r="4" spans="2:6" ht="31" x14ac:dyDescent="0.3">
      <c r="B4" s="683" t="s">
        <v>64</v>
      </c>
      <c r="C4" s="685" t="s">
        <v>13</v>
      </c>
      <c r="D4" s="77" t="s">
        <v>14</v>
      </c>
      <c r="E4" s="78" t="s">
        <v>65</v>
      </c>
      <c r="F4" s="79">
        <v>0.25</v>
      </c>
    </row>
    <row r="5" spans="2:6" ht="46.5" x14ac:dyDescent="0.3">
      <c r="B5" s="684"/>
      <c r="C5" s="686"/>
      <c r="D5" s="80" t="s">
        <v>15</v>
      </c>
      <c r="E5" s="81" t="s">
        <v>66</v>
      </c>
      <c r="F5" s="82">
        <v>0.15</v>
      </c>
    </row>
    <row r="6" spans="2:6" ht="46.5" x14ac:dyDescent="0.3">
      <c r="B6" s="684"/>
      <c r="C6" s="686"/>
      <c r="D6" s="80" t="s">
        <v>16</v>
      </c>
      <c r="E6" s="81" t="s">
        <v>67</v>
      </c>
      <c r="F6" s="82">
        <v>0.1</v>
      </c>
    </row>
    <row r="7" spans="2:6" ht="62" x14ac:dyDescent="0.3">
      <c r="B7" s="684"/>
      <c r="C7" s="686" t="s">
        <v>17</v>
      </c>
      <c r="D7" s="80" t="s">
        <v>10</v>
      </c>
      <c r="E7" s="81" t="s">
        <v>68</v>
      </c>
      <c r="F7" s="82">
        <v>0.25</v>
      </c>
    </row>
    <row r="8" spans="2:6" ht="31" x14ac:dyDescent="0.3">
      <c r="B8" s="684"/>
      <c r="C8" s="686"/>
      <c r="D8" s="80" t="s">
        <v>9</v>
      </c>
      <c r="E8" s="81" t="s">
        <v>69</v>
      </c>
      <c r="F8" s="82">
        <v>0.15</v>
      </c>
    </row>
    <row r="9" spans="2:6" ht="46.5" x14ac:dyDescent="0.3">
      <c r="B9" s="684" t="s">
        <v>157</v>
      </c>
      <c r="C9" s="686" t="s">
        <v>18</v>
      </c>
      <c r="D9" s="80" t="s">
        <v>19</v>
      </c>
      <c r="E9" s="81" t="s">
        <v>70</v>
      </c>
      <c r="F9" s="83" t="s">
        <v>71</v>
      </c>
    </row>
    <row r="10" spans="2:6" ht="46.5" x14ac:dyDescent="0.3">
      <c r="B10" s="684"/>
      <c r="C10" s="686"/>
      <c r="D10" s="80" t="s">
        <v>20</v>
      </c>
      <c r="E10" s="81" t="s">
        <v>72</v>
      </c>
      <c r="F10" s="83" t="s">
        <v>71</v>
      </c>
    </row>
    <row r="11" spans="2:6" ht="46.5" x14ac:dyDescent="0.3">
      <c r="B11" s="684"/>
      <c r="C11" s="686" t="s">
        <v>21</v>
      </c>
      <c r="D11" s="80" t="s">
        <v>22</v>
      </c>
      <c r="E11" s="81" t="s">
        <v>73</v>
      </c>
      <c r="F11" s="83" t="s">
        <v>71</v>
      </c>
    </row>
    <row r="12" spans="2:6" ht="46.5" x14ac:dyDescent="0.3">
      <c r="B12" s="684"/>
      <c r="C12" s="686"/>
      <c r="D12" s="80" t="s">
        <v>23</v>
      </c>
      <c r="E12" s="81" t="s">
        <v>74</v>
      </c>
      <c r="F12" s="83" t="s">
        <v>71</v>
      </c>
    </row>
    <row r="13" spans="2:6" ht="31" x14ac:dyDescent="0.3">
      <c r="B13" s="684"/>
      <c r="C13" s="686" t="s">
        <v>24</v>
      </c>
      <c r="D13" s="80" t="s">
        <v>116</v>
      </c>
      <c r="E13" s="81" t="s">
        <v>119</v>
      </c>
      <c r="F13" s="83" t="s">
        <v>71</v>
      </c>
    </row>
    <row r="14" spans="2:6" ht="16" thickBot="1" x14ac:dyDescent="0.35">
      <c r="B14" s="687"/>
      <c r="C14" s="688"/>
      <c r="D14" s="84" t="s">
        <v>117</v>
      </c>
      <c r="E14" s="85" t="s">
        <v>118</v>
      </c>
      <c r="F14" s="86" t="s">
        <v>71</v>
      </c>
    </row>
    <row r="15" spans="2:6" ht="49.5" customHeight="1" x14ac:dyDescent="0.3">
      <c r="B15" s="680" t="s">
        <v>154</v>
      </c>
      <c r="C15" s="680"/>
      <c r="D15" s="680"/>
      <c r="E15" s="680"/>
      <c r="F15" s="680"/>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2024-09-25T02:02:33Z</dcterms:modified>
</cp:coreProperties>
</file>